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HP\Desktop\wushu a ost\sacw\2025\dotacie\nove podmienky pre rok 2025\"/>
    </mc:Choice>
  </mc:AlternateContent>
  <xr:revisionPtr revIDLastSave="0" documentId="13_ncr:1_{349A2600-B01F-4499-A737-4E201D5CB80F}"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M47"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C14" i="6"/>
  <c r="K46" i="4"/>
  <c r="C13" i="6"/>
  <c r="C10" i="6"/>
  <c r="K40" i="9"/>
  <c r="L41" i="9"/>
  <c r="L43" i="9"/>
  <c r="L46" i="9" s="1"/>
  <c r="K45" i="9"/>
  <c r="B43" i="9" s="1"/>
  <c r="M13" i="4"/>
  <c r="C11" i="6"/>
  <c r="F65" i="9" l="1"/>
  <c r="I24" i="4"/>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<sst xmlns="http://schemas.openxmlformats.org/spreadsheetml/2006/main" count="5218" uniqueCount="2475">
  <si>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</si>
  <si>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</si>
  <si>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</si>
  <si>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</si>
  <si>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</si>
  <si>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</si>
  <si>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</si>
  <si>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</si>
  <si>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</si>
  <si>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</si>
  <si>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</si>
  <si>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</si>
  <si>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</si>
  <si>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</si>
  <si>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</si>
  <si>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</si>
  <si>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</si>
  <si>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</si>
  <si>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</si>
  <si>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</si>
  <si>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</si>
  <si>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</si>
  <si>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</si>
  <si>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</si>
  <si>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</si>
  <si>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</si>
  <si>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</si>
  <si>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</si>
  <si>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</si>
  <si>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</si>
  <si>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</si>
  <si>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</si>
  <si>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</si>
  <si>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</si>
  <si>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</si>
  <si>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</si>
  <si>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</si>
  <si>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</si>
  <si>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</si>
  <si>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</si>
  <si>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</si>
  <si>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</si>
  <si>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</si>
  <si>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</si>
  <si>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</si>
  <si>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</si>
  <si>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</si>
  <si>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</si>
  <si>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</si>
  <si>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</si>
  <si>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</si>
  <si>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</si>
  <si>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</si>
  <si>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</si>
  <si>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</si>
  <si>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</si>
  <si>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</si>
  <si>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</si>
  <si>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</si>
  <si>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</si>
  <si>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</si>
  <si>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</si>
  <si>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</si>
  <si>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</si>
  <si>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</si>
  <si>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</si>
  <si>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</si>
  <si>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</si>
  <si>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</si>
  <si>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</si>
  <si>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</si>
  <si>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</si>
  <si>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</si>
  <si>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</si>
  <si>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</si>
  <si>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</si>
  <si>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</si>
  <si>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</si>
  <si>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</si>
  <si>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</si>
  <si>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</si>
  <si>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</si>
  <si>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</si>
  <si>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</si>
  <si>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</si>
  <si>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</si>
  <si>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</si>
  <si>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</si>
  <si>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</si>
  <si>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</si>
  <si>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</si>
  <si>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</si>
  <si>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</si>
  <si>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</si>
  <si>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</si>
  <si>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</si>
  <si>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</si>
  <si>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</si>
  <si>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</si>
  <si>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</si>
  <si>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</si>
  <si>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</si>
  <si>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</si>
  <si>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</si>
  <si>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</si>
  <si>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</si>
  <si>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</si>
  <si>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</si>
  <si>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</si>
  <si>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</si>
  <si>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</si>
  <si>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</si>
  <si>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</si>
  <si>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</si>
  <si>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</si>
  <si>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</si>
  <si>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</si>
  <si>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</si>
  <si>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</si>
  <si>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</si>
  <si>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</si>
  <si>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</si>
  <si>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</si>
  <si>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</si>
  <si>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</si>
  <si>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</si>
  <si>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</si>
  <si>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</si>
  <si>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</si>
  <si>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</si>
  <si>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</si>
  <si>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</si>
  <si>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</si>
  <si>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</si>
  <si>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</si>
  <si>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</si>
  <si>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</si>
  <si>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</si>
  <si>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</si>
  <si>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</si>
  <si>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</si>
  <si>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</si>
  <si>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</si>
  <si>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</si>
  <si>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</si>
  <si>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</si>
  <si>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</si>
  <si>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</si>
  <si>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</si>
  <si>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</si>
  <si>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</si>
  <si>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</si>
  <si>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</si>
  <si>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</si>
  <si>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</si>
  <si>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</si>
  <si>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</si>
  <si>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</si>
  <si>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</si>
  <si>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</si>
  <si>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</si>
  <si>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</si>
  <si>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</si>
  <si>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</si>
  <si>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</si>
  <si>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</si>
  <si>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</si>
  <si>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</si>
  <si>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</si>
  <si>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</si>
  <si>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</si>
  <si>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</si>
  <si>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</si>
  <si>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</si>
  <si>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</si>
  <si>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</si>
  <si>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</si>
  <si>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</si>
  <si>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</si>
  <si>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</si>
  <si>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</si>
  <si>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</si>
  <si>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</si>
  <si>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</si>
  <si>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</si>
  <si>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</si>
  <si>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</si>
  <si>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</si>
  <si>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</si>
  <si>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</si>
  <si>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</si>
  <si>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</si>
  <si>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</si>
  <si>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</si>
  <si>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</si>
  <si>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</si>
  <si>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</si>
  <si>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</si>
  <si>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</si>
  <si>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</si>
  <si>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</si>
  <si>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</si>
  <si>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</si>
  <si>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</si>
  <si>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</si>
  <si>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</si>
  <si>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</si>
  <si>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</si>
  <si>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</si>
  <si>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</si>
  <si>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</si>
  <si>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</si>
  <si>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</si>
  <si>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</si>
  <si>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</si>
  <si>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</si>
  <si>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</si>
  <si>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</si>
  <si>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</si>
  <si>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</si>
  <si>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</si>
  <si>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</si>
  <si>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</si>
  <si>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</si>
  <si>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</si>
  <si>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</si>
  <si>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</si>
  <si>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</si>
  <si>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</si>
  <si>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</si>
  <si>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</si>
  <si>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</si>
  <si>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</si>
  <si>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</si>
  <si>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</si>
  <si>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</si>
  <si>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</si>
  <si>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</si>
  <si>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</si>
  <si>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</si>
  <si>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</si>
  <si>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</si>
  <si>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</si>
  <si>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</si>
  <si>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</si>
  <si>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</si>
  <si>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</si>
  <si>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</si>
  <si>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</si>
  <si>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</si>
  <si>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</si>
  <si>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</si>
  <si>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</si>
  <si>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</si>
  <si>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</si>
  <si>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</si>
  <si>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</si>
  <si>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</si>
  <si>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</si>
  <si>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</si>
  <si>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</si>
  <si>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</si>
  <si>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</si>
  <si>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</si>
  <si>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</si>
  <si>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</si>
  <si>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</si>
  <si>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</si>
  <si>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</si>
  <si>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</si>
  <si>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</si>
  <si>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</si>
  <si>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</si>
  <si>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</si>
  <si>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</si>
  <si>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</si>
  <si>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</si>
  <si>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</si>
  <si>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</si>
  <si>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</si>
  <si>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</si>
  <si>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</si>
  <si>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</si>
  <si>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</si>
  <si>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</si>
  <si>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</si>
  <si>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</si>
  <si>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</si>
  <si>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</si>
  <si>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</si>
  <si>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</si>
  <si>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</si>
  <si>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</si>
  <si>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</si>
  <si>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</si>
  <si>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</si>
  <si>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</si>
  <si>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</si>
  <si>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</si>
  <si>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</si>
  <si>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</si>
  <si>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</si>
  <si>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</si>
  <si>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</si>
  <si>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</si>
  <si>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</si>
  <si>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</si>
  <si>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</si>
  <si>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</si>
  <si>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</si>
  <si>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</si>
  <si>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</si>
  <si>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</si>
  <si>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</si>
  <si>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</si>
  <si>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</si>
  <si>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</si>
  <si>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</si>
  <si>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</si>
  <si>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</si>
  <si>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</si>
  <si>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</si>
  <si>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</si>
  <si>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</si>
  <si>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</si>
  <si>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</si>
  <si>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</si>
  <si>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</si>
  <si>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</si>
  <si>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</si>
  <si>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</si>
  <si>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</si>
  <si>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</si>
  <si>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</si>
  <si>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</si>
  <si>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</si>
  <si>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</si>
  <si>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</si>
  <si>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</si>
  <si>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</si>
  <si>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</si>
  <si>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</si>
  <si>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</si>
  <si>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</si>
  <si>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</si>
  <si>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</si>
  <si>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</si>
  <si>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</si>
  <si>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</si>
  <si>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</si>
  <si>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</si>
  <si>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</si>
  <si>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</si>
  <si>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</si>
  <si>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</si>
  <si>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</si>
  <si>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</si>
  <si>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</si>
  <si>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</si>
  <si>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</si>
  <si>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</si>
  <si>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</si>
  <si>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</si>
  <si>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</si>
  <si>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</si>
  <si>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</si>
  <si>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</si>
  <si>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</si>
  <si>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</si>
  <si>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</si>
  <si>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</si>
  <si>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</si>
  <si>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</si>
  <si>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</si>
  <si>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</si>
  <si>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</si>
  <si>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</si>
  <si>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</si>
  <si>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</si>
  <si>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</si>
  <si>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</si>
  <si>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</si>
  <si>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</si>
  <si>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</si>
  <si>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</si>
  <si>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</si>
  <si>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</si>
  <si>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</si>
  <si>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</si>
  <si>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</si>
  <si>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</si>
  <si>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</si>
  <si>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</si>
  <si>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</si>
  <si>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</si>
  <si>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</si>
  <si>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</si>
  <si>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</si>
  <si>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</si>
  <si>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</si>
  <si>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</si>
  <si>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</si>
  <si>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</si>
  <si>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</si>
  <si>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</si>
  <si>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</si>
  <si>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</si>
  <si>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</si>
  <si>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</si>
  <si>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</si>
  <si>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</si>
  <si>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</si>
  <si>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</si>
  <si>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</si>
  <si>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</si>
  <si>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</si>
  <si>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</si>
  <si>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</si>
  <si>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</si>
  <si>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</si>
  <si>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</si>
  <si>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</si>
  <si>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</si>
  <si>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</si>
  <si>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</si>
  <si>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</si>
  <si>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</si>
  <si>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</si>
  <si>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</si>
  <si>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</si>
  <si>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</si>
  <si>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</si>
  <si>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</si>
  <si>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</si>
  <si>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</si>
  <si>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</si>
  <si>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</si>
  <si>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</si>
  <si>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</si>
  <si>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</si>
  <si>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</si>
  <si>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</si>
  <si>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</si>
  <si>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</si>
  <si>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</si>
  <si>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</si>
  <si>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</si>
  <si>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</si>
  <si>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</si>
  <si>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</si>
  <si>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</si>
  <si>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</si>
  <si>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</si>
  <si>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</si>
  <si>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</si>
  <si>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</si>
  <si>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</si>
  <si>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</si>
  <si>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</si>
  <si>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</si>
  <si>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</si>
  <si>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</si>
  <si>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</si>
  <si>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</si>
  <si>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</si>
  <si>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</si>
  <si>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</si>
  <si>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</si>
  <si>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</si>
  <si>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</si>
  <si>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</si>
  <si>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</si>
  <si>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</si>
  <si>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</si>
  <si>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</si>
  <si>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</si>
  <si>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</si>
  <si>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</si>
  <si>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</si>
  <si>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</si>
  <si>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</si>
  <si>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</si>
  <si>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</si>
  <si>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</si>
  <si>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</si>
  <si>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</si>
  <si>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</si>
  <si>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</si>
  <si>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</si>
  <si>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</si>
  <si>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</si>
  <si>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</si>
  <si>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</si>
  <si>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</si>
  <si>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</si>
  <si>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</si>
  <si>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</si>
  <si>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</si>
  <si>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</si>
  <si>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</si>
  <si>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</si>
  <si>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</si>
  <si>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</si>
  <si>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</si>
  <si>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</si>
  <si>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</si>
  <si>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</si>
  <si>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</si>
  <si>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</si>
  <si>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</si>
  <si>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</si>
  <si>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</si>
  <si>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</si>
  <si>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</si>
  <si>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</si>
  <si>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</si>
  <si>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</si>
  <si>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</si>
  <si>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</si>
  <si>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</si>
  <si>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</si>
  <si>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</si>
  <si>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</si>
  <si>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</si>
  <si>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</si>
  <si>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</si>
  <si>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</si>
  <si>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</si>
  <si>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</si>
  <si>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</si>
  <si>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</si>
  <si>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</si>
  <si>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</si>
  <si>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</si>
  <si>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</si>
  <si>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</si>
  <si>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</si>
  <si>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</si>
  <si>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</si>
  <si>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</si>
  <si>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</si>
  <si>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</si>
  <si>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</si>
  <si>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</si>
  <si>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</si>
  <si>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</si>
  <si>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</si>
  <si>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</si>
  <si>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</si>
  <si>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</si>
  <si>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</si>
  <si>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</si>
  <si>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</si>
  <si>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</si>
  <si>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</si>
  <si>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</si>
  <si>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</si>
  <si>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</si>
  <si>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</si>
  <si>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</si>
  <si>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</si>
  <si>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</si>
  <si>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</si>
  <si>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</si>
  <si>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</si>
  <si>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</si>
  <si>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</si>
  <si>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</si>
  <si>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</si>
  <si>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</si>
  <si>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</si>
  <si>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</si>
  <si>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</si>
  <si>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</si>
  <si>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</si>
  <si>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</si>
  <si>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</si>
  <si>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</si>
  <si>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</si>
  <si>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</si>
  <si>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</si>
  <si>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</si>
  <si>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</si>
  <si>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</si>
  <si>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</si>
  <si>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</si>
  <si>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</si>
  <si>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</si>
  <si>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</si>
  <si>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</si>
  <si>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</si>
  <si>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</si>
  <si>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</si>
  <si>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</si>
  <si>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</si>
  <si>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</si>
  <si>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</si>
  <si>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</si>
  <si>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</si>
  <si>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</si>
  <si>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</si>
  <si>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</si>
  <si>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</si>
  <si>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</si>
  <si>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</si>
  <si>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</si>
  <si>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</si>
  <si>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</si>
  <si>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</si>
  <si>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</si>
  <si>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</si>
  <si>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</si>
  <si>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</si>
  <si>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</si>
  <si>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</si>
  <si>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</si>
  <si>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</si>
  <si>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</si>
  <si>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</si>
  <si>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</si>
  <si>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</si>
  <si>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</si>
  <si>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</si>
  <si>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</si>
  <si>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</si>
  <si>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</si>
  <si>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</si>
  <si>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</si>
  <si>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</si>
  <si>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</si>
  <si>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</si>
  <si>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</si>
  <si>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</si>
  <si>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</si>
  <si>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</si>
  <si>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</si>
  <si>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</si>
  <si>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</si>
  <si>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</si>
  <si>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</si>
  <si>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</si>
  <si>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</si>
  <si>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</si>
  <si>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</si>
  <si>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</si>
  <si>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</si>
  <si>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</si>
  <si>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</si>
  <si>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</si>
  <si>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</si>
  <si>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</si>
  <si>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</si>
  <si>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</si>
  <si>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</si>
  <si>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</si>
  <si>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</si>
  <si>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</si>
  <si>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</si>
  <si>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</si>
  <si>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</si>
  <si>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</si>
  <si>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</si>
  <si>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</si>
  <si>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</si>
  <si>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</si>
  <si>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</si>
  <si>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</si>
  <si>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</si>
  <si>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</si>
  <si>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</si>
  <si>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</si>
  <si>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</si>
  <si>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</si>
  <si>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</si>
  <si>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</si>
  <si>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</si>
  <si>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</si>
  <si>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</si>
  <si>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</si>
  <si>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</si>
  <si>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</si>
  <si>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</si>
  <si>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</si>
  <si>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</si>
  <si>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</si>
  <si>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</si>
  <si>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</si>
  <si>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</si>
  <si>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</si>
  <si>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</si>
  <si>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</si>
  <si>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</si>
  <si>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</si>
  <si>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</si>
  <si>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</si>
  <si>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</si>
  <si>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</si>
  <si>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</si>
  <si>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</si>
  <si>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</si>
  <si>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</si>
  <si>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</si>
  <si>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</si>
  <si>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</si>
  <si>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</si>
  <si>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</si>
  <si>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</si>
  <si>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</si>
  <si>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</si>
  <si>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</si>
  <si>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</si>
  <si>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</si>
  <si>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</si>
  <si>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</si>
  <si>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</si>
  <si>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</si>
  <si>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</si>
  <si>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</si>
  <si>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</si>
  <si>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</si>
  <si>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</si>
  <si>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</si>
  <si>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</si>
  <si>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</si>
  <si>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</si>
  <si>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</si>
  <si>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</si>
  <si>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</si>
  <si>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</si>
  <si>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</si>
  <si>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</si>
  <si>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</si>
  <si>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</si>
  <si>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</si>
  <si>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</si>
  <si>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</si>
  <si>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</si>
  <si>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</si>
  <si>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</si>
  <si>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</si>
  <si>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</si>
  <si>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</si>
  <si>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</si>
  <si>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</si>
  <si>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</si>
  <si>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</si>
  <si>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</si>
  <si>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</si>
  <si>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</si>
  <si>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</si>
  <si>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</si>
  <si>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</si>
  <si>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</si>
  <si>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</si>
  <si>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</si>
  <si>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</si>
  <si>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</si>
  <si>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</si>
  <si>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</si>
  <si>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</si>
  <si>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</si>
  <si>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</si>
  <si>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</si>
  <si>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</si>
  <si>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</si>
  <si>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</si>
  <si>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</si>
  <si>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</si>
  <si>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</si>
  <si>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</si>
  <si>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</si>
  <si>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</si>
  <si>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</si>
  <si>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</si>
  <si>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</si>
  <si>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</si>
  <si>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</si>
  <si>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</si>
  <si>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</si>
  <si>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</si>
  <si>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</si>
  <si>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</si>
  <si>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</si>
  <si>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</si>
  <si>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</si>
  <si>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</si>
  <si>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</si>
  <si>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</si>
  <si>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</si>
  <si>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</si>
  <si>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</si>
  <si>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</si>
  <si>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</si>
  <si>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</si>
  <si>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</si>
  <si>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</si>
  <si>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</si>
  <si>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</si>
  <si>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</si>
  <si>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</si>
  <si>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</si>
  <si>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</si>
  <si>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</si>
  <si>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</si>
  <si>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</si>
  <si>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</si>
  <si>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</si>
  <si>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</si>
  <si>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</si>
  <si>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</si>
  <si>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</si>
  <si>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</si>
  <si>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</si>
  <si>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</si>
  <si>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</si>
  <si>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</si>
  <si>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</si>
  <si>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</si>
  <si>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</si>
  <si>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</si>
  <si>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</si>
  <si>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</si>
  <si>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</si>
  <si>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</si>
  <si>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</si>
  <si>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</si>
  <si>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</si>
  <si>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</si>
  <si>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</si>
  <si>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</si>
  <si>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</si>
  <si>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</si>
  <si>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</si>
  <si>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</si>
  <si>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</si>
  <si>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</si>
  <si>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</si>
  <si>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</si>
  <si>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</si>
  <si>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</si>
  <si>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</si>
  <si>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</si>
  <si>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</si>
  <si>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</si>
  <si>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</si>
  <si>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</si>
  <si>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</si>
  <si>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</si>
  <si>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</si>
  <si>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</si>
  <si>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</si>
  <si>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</si>
  <si>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</si>
  <si>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</si>
  <si>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</si>
  <si>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</si>
  <si>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</si>
  <si>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</si>
  <si>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</si>
  <si>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</si>
  <si>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</si>
  <si>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</si>
  <si>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</si>
  <si>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</si>
  <si>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</si>
  <si>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</si>
  <si>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</si>
  <si>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</si>
  <si>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</si>
  <si>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</si>
  <si>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</si>
  <si>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</si>
  <si>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</si>
  <si>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</si>
  <si>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</si>
  <si>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</si>
  <si>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</si>
  <si>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</si>
  <si>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</si>
  <si>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</si>
  <si>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</si>
  <si>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</si>
  <si>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</si>
  <si>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</si>
  <si>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</si>
  <si>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</si>
  <si>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</si>
  <si>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</si>
  <si>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</si>
  <si>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</si>
  <si>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</si>
  <si>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</si>
  <si>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</si>
  <si>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</si>
  <si>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</si>
  <si>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</si>
  <si>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</si>
  <si>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</si>
  <si>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</si>
  <si>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</si>
  <si>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</si>
  <si>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</si>
  <si>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</si>
  <si>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</si>
  <si>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</si>
  <si>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</si>
  <si>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</si>
  <si>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</si>
  <si>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</si>
  <si>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</si>
  <si>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</si>
  <si>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</si>
  <si>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</si>
  <si>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</si>
  <si>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</si>
  <si>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</si>
  <si>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</si>
  <si>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</si>
  <si>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</si>
  <si>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</si>
  <si>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</si>
  <si>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</si>
  <si>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</si>
  <si>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</si>
  <si>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</si>
  <si>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</si>
  <si>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</si>
  <si>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</si>
  <si>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</si>
  <si>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</si>
  <si>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</si>
  <si>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</si>
  <si>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</si>
  <si>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</si>
  <si>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</si>
  <si>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</si>
  <si>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</si>
  <si>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</si>
  <si>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</si>
  <si>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</si>
  <si>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</si>
  <si>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</si>
  <si>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</si>
  <si>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</si>
  <si>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</si>
  <si>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</si>
  <si>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</si>
  <si>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</si>
  <si>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</si>
  <si>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</si>
  <si>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</si>
  <si>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</si>
  <si>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</si>
  <si>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</si>
  <si>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</si>
  <si>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</si>
  <si>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</si>
  <si>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</si>
  <si>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</si>
  <si>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</si>
  <si>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</si>
  <si>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</si>
  <si>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</si>
  <si>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</si>
  <si>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</si>
  <si>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</si>
  <si>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</si>
  <si>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</si>
  <si>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</si>
  <si>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</si>
  <si>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</si>
  <si>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</si>
  <si>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</si>
  <si>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</si>
  <si>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</si>
  <si>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</si>
  <si>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</si>
  <si>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</si>
  <si>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</si>
  <si>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</si>
  <si>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</si>
  <si>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</si>
  <si>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</si>
  <si>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</si>
  <si>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</si>
  <si>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</si>
  <si>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</si>
  <si>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</si>
  <si>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</si>
  <si>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</si>
  <si>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</si>
  <si>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</si>
  <si>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</si>
  <si>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</si>
  <si>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</si>
  <si>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</si>
  <si>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</si>
  <si>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</si>
  <si>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</si>
  <si>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</si>
  <si>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</si>
  <si>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</si>
  <si>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</si>
  <si>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</si>
  <si>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</si>
  <si>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</si>
  <si>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</si>
  <si>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</si>
  <si>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</si>
  <si>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</si>
  <si>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</si>
  <si>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</si>
  <si>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</si>
  <si>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</si>
  <si>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</si>
  <si>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</si>
  <si>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</si>
  <si>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</si>
  <si>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</si>
  <si>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</si>
  <si>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</si>
  <si>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</si>
  <si>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</si>
  <si>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</si>
  <si>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</si>
  <si>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</si>
  <si>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</si>
  <si>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</si>
  <si>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</si>
  <si>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</si>
  <si>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</si>
  <si>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</si>
  <si>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</si>
  <si>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</si>
  <si>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</si>
  <si>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</si>
  <si>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</si>
  <si>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</si>
  <si>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</si>
  <si>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</si>
  <si>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</si>
  <si>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</si>
  <si>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</si>
  <si>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</si>
  <si>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</si>
  <si>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</si>
  <si>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</si>
  <si>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</si>
  <si>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</si>
  <si>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</si>
  <si>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</si>
  <si>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</si>
  <si>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</si>
  <si>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</si>
  <si>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</si>
  <si>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</si>
  <si>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</si>
  <si>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</si>
  <si>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</si>
  <si>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</si>
  <si>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</si>
  <si>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</si>
  <si>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</si>
  <si>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</si>
  <si>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</si>
  <si>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</si>
  <si>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</si>
  <si>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</si>
  <si>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</si>
  <si>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</si>
  <si>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</si>
  <si>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</si>
  <si>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</si>
  <si>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</si>
  <si>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</si>
  <si>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</si>
  <si>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</si>
  <si>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</si>
  <si>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</si>
  <si>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</si>
  <si>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</si>
  <si>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</si>
  <si>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</si>
  <si>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</si>
  <si>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</si>
  <si>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</si>
  <si>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</si>
  <si>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</si>
  <si>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</si>
  <si>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</si>
  <si>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</si>
  <si>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</si>
  <si>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</si>
  <si>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</si>
  <si>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</si>
  <si>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</si>
  <si>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</si>
  <si>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</si>
  <si>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</si>
  <si>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</si>
  <si>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</si>
  <si>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</si>
  <si>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</si>
  <si>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</si>
  <si>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</si>
  <si>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</si>
  <si>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</si>
  <si>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</si>
  <si>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</si>
  <si>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</si>
  <si>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</si>
  <si>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</si>
  <si>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</si>
  <si>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</si>
  <si>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</si>
  <si>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</si>
  <si>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</si>
  <si>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</si>
  <si>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</si>
  <si>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</si>
  <si>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</si>
  <si>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</si>
  <si>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</si>
  <si>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</si>
  <si>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</si>
  <si>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</si>
  <si>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</si>
  <si>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</si>
  <si>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</si>
  <si>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</si>
  <si>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</si>
  <si>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</si>
  <si>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</si>
  <si>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</si>
  <si>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</si>
  <si>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</si>
  <si>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</si>
  <si>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</si>
  <si>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</si>
  <si>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</si>
  <si>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</si>
  <si>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</si>
  <si>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</si>
  <si>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</si>
  <si>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</si>
  <si>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</si>
  <si>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</si>
  <si>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</si>
  <si>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</si>
  <si>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</si>
  <si>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</si>
  <si>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</si>
  <si>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</si>
  <si>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</si>
  <si>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</si>
  <si>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</si>
  <si>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</si>
  <si>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</si>
  <si>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</si>
  <si>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</si>
  <si>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</si>
  <si>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</si>
  <si>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</si>
  <si>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</si>
  <si>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</si>
  <si>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</si>
  <si>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</si>
  <si>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</si>
  <si>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</si>
  <si>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</si>
  <si>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</si>
  <si>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</si>
  <si>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</si>
  <si>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</si>
  <si>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</si>
  <si>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</si>
  <si>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</si>
  <si>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</si>
  <si>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</si>
  <si>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</si>
  <si>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</si>
  <si>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</si>
  <si>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</si>
  <si>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</si>
  <si>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</si>
  <si>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</si>
  <si>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</si>
  <si>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</si>
  <si>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</si>
  <si>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</si>
  <si>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</si>
  <si>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</si>
  <si>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</si>
  <si>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</si>
  <si>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</si>
  <si>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</si>
  <si>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</si>
  <si>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</si>
  <si>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</si>
  <si>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</si>
  <si>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</si>
  <si>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</si>
  <si>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</si>
  <si>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</si>
  <si>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</si>
  <si>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</si>
  <si>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</si>
  <si>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</si>
  <si>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</si>
  <si>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</si>
  <si>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</si>
  <si>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</si>
  <si>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</si>
  <si>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</si>
  <si>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</si>
  <si>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</si>
  <si>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</si>
  <si>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</si>
  <si>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</si>
  <si>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</si>
  <si>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</si>
  <si>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</si>
  <si>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</si>
  <si>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</si>
  <si>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</si>
  <si>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</si>
  <si>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</si>
  <si>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</si>
  <si>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</si>
  <si>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</si>
  <si>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</si>
  <si>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</si>
  <si>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</si>
  <si>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</si>
  <si>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</si>
  <si>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</si>
  <si>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</si>
  <si>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</si>
  <si>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</si>
  <si>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</si>
  <si>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</si>
  <si>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</si>
  <si>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</si>
  <si>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</si>
  <si>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</si>
  <si>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</si>
  <si>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</si>
  <si>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</si>
  <si>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</si>
  <si>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</si>
  <si>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</si>
  <si>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</si>
  <si>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</si>
  <si>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</si>
  <si>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</si>
  <si>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</si>
  <si>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</si>
  <si>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</si>
  <si>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</si>
  <si>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</si>
  <si>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</si>
  <si>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</si>
  <si>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</si>
  <si>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</si>
  <si>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</si>
  <si>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</si>
  <si>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</si>
  <si>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</si>
  <si>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</si>
  <si>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</si>
  <si>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</si>
  <si>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</si>
  <si>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</si>
  <si>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</si>
  <si>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</si>
  <si>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</si>
  <si>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</si>
  <si>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</si>
  <si>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</si>
  <si>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</si>
  <si>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</si>
  <si>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</si>
  <si>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</si>
  <si>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</si>
  <si>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</si>
  <si>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</si>
  <si>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</si>
  <si>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</si>
  <si>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</si>
  <si>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</si>
  <si>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</si>
  <si>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</si>
  <si>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</si>
  <si>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</si>
  <si>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</si>
  <si>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</si>
  <si>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</si>
  <si>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</si>
  <si>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</si>
  <si>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</si>
  <si>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</si>
  <si>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</si>
  <si>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</si>
  <si>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</si>
  <si>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</si>
  <si>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</si>
  <si>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</si>
  <si>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</si>
  <si>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</si>
  <si>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</si>
  <si>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</si>
  <si>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</si>
  <si>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</si>
  <si>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</si>
  <si>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</si>
  <si>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</si>
  <si>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</si>
  <si>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</si>
  <si>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</si>
  <si>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</si>
  <si>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</si>
  <si>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</si>
  <si>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</si>
  <si>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</si>
  <si>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</si>
  <si>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</si>
  <si>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</si>
  <si>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</si>
  <si>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</si>
  <si>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</si>
  <si>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</si>
  <si>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</si>
  <si>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</si>
  <si>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</si>
  <si>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</si>
  <si>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</si>
  <si>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</si>
  <si>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</si>
  <si>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</si>
  <si>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</si>
  <si>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</si>
  <si>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</si>
  <si>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</si>
  <si>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</si>
  <si>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</si>
  <si>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</si>
  <si>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</si>
  <si>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</si>
  <si>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</si>
  <si>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</si>
  <si>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</si>
  <si>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</si>
  <si>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</si>
  <si>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</si>
  <si>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</si>
  <si>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</si>
  <si>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</si>
  <si>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</si>
  <si>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</si>
  <si>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</si>
  <si>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</si>
  <si>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</si>
  <si>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</si>
  <si>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</si>
  <si>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</si>
  <si>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</si>
  <si>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</si>
  <si>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</si>
  <si>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</si>
  <si>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</si>
  <si>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</si>
  <si>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</si>
  <si>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</si>
  <si>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</si>
  <si>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</si>
  <si>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</si>
  <si>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</si>
  <si>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</si>
  <si>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</si>
  <si>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</si>
  <si>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</si>
  <si>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</si>
  <si>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</si>
  <si>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</si>
  <si>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</si>
  <si>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</si>
  <si>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</si>
  <si>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</si>
  <si>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</si>
  <si>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</si>
  <si>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</si>
  <si>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</si>
  <si>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</si>
  <si>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</si>
  <si>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</si>
  <si>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</si>
  <si>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</si>
  <si>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</si>
  <si>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</si>
  <si>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</si>
  <si>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</si>
  <si>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</si>
  <si>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</si>
  <si>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</si>
  <si>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</si>
  <si>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</si>
  <si>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</si>
  <si>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</si>
  <si>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</si>
  <si>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</si>
  <si>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</si>
  <si>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</si>
  <si>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</si>
  <si>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</si>
  <si>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</si>
  <si>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</si>
  <si>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</si>
  <si>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</si>
  <si>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</si>
  <si>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</si>
  <si>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</si>
  <si>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</si>
  <si>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</si>
  <si>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</si>
  <si>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</si>
  <si>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</si>
  <si>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</si>
  <si>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</si>
  <si>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</si>
  <si>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</si>
  <si>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</si>
  <si>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</si>
  <si>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</si>
  <si>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</si>
  <si>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</si>
  <si>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</si>
  <si>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</si>
  <si>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</si>
  <si>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</si>
  <si>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</si>
  <si>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</si>
  <si>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</si>
  <si>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</si>
  <si>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</si>
  <si>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</si>
  <si>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</si>
  <si>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</si>
  <si>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</si>
  <si>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</si>
  <si>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</si>
  <si>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</si>
  <si>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</si>
  <si>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</si>
  <si>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</si>
  <si>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</si>
  <si>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</si>
  <si>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</si>
  <si>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</si>
  <si>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</si>
  <si>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</si>
  <si>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</si>
  <si>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</si>
  <si>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</si>
  <si>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</si>
  <si>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</si>
  <si>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</si>
  <si>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</si>
  <si>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</si>
  <si>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</si>
  <si>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</si>
  <si>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</si>
  <si>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</si>
  <si>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</si>
  <si>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</si>
  <si>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</si>
  <si>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</si>
  <si>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</si>
  <si>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</si>
  <si>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</si>
  <si>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</si>
  <si>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</si>
  <si>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</si>
  <si>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</si>
  <si>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</si>
  <si>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</si>
  <si>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</si>
  <si>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</si>
  <si>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</si>
  <si>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</si>
  <si>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</si>
  <si>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</si>
  <si>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</si>
  <si>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</si>
  <si>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</si>
  <si>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</si>
  <si>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</si>
  <si>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</si>
  <si>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</si>
  <si>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</si>
  <si>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</si>
  <si>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</si>
  <si>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</si>
  <si>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</si>
  <si>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</si>
  <si>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</si>
  <si>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</si>
  <si>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</si>
  <si>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</si>
  <si>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</si>
  <si>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</si>
  <si>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</si>
  <si>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</si>
  <si>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</si>
  <si>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</si>
  <si>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</si>
  <si>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</si>
  <si>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</si>
  <si>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</si>
  <si>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</si>
  <si>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</si>
  <si>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</si>
  <si>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</si>
  <si>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</si>
  <si>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</si>
  <si>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</si>
  <si>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</si>
  <si>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</si>
  <si>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</si>
  <si>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</si>
  <si>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</si>
  <si>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</si>
  <si>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</si>
  <si>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</si>
  <si>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</si>
  <si>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</si>
  <si>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</si>
  <si>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</si>
  <si>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</si>
  <si>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</si>
  <si>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</si>
  <si>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</si>
  <si>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</si>
  <si>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</si>
  <si>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</si>
  <si>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</si>
  <si>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</si>
  <si>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</si>
  <si>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</si>
  <si>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</si>
  <si>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</si>
  <si>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</si>
  <si>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</si>
  <si>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</si>
  <si>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</si>
  <si>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</si>
  <si>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</si>
  <si>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</si>
  <si>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</si>
  <si>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</si>
  <si>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</si>
  <si>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</si>
  <si>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</si>
  <si>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</si>
  <si>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</si>
  <si>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</si>
  <si>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</si>
  <si>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</si>
  <si>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</si>
  <si>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</si>
  <si>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</si>
  <si>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</si>
  <si>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</si>
  <si>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</si>
  <si>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</si>
  <si>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</si>
  <si>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</si>
  <si>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</si>
  <si>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</si>
  <si>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</si>
  <si>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</si>
  <si>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</si>
  <si>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</si>
  <si>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</si>
  <si>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</si>
  <si>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</si>
  <si>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</si>
  <si>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</si>
  <si>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</si>
  <si>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</si>
  <si>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</si>
  <si>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</si>
  <si>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</si>
  <si>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</si>
  <si>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</si>
  <si>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</si>
  <si>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</si>
  <si>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</si>
  <si>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</si>
  <si>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</si>
  <si>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</si>
  <si>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</si>
  <si>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</si>
  <si>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</si>
  <si>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</si>
  <si>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</si>
  <si>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</si>
  <si>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</si>
  <si>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</si>
  <si>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</si>
  <si>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</si>
  <si>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</si>
  <si>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</si>
  <si>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</si>
  <si>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</si>
  <si>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</si>
  <si>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</si>
  <si>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</si>
  <si>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</si>
  <si>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</si>
  <si>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</si>
  <si>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</si>
  <si>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</si>
  <si>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</si>
  <si>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</si>
  <si>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</si>
  <si>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</si>
  <si>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</si>
  <si>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</si>
  <si>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</si>
  <si>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</si>
  <si>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</si>
  <si>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</si>
  <si>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</si>
  <si>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</si>
  <si>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</si>
  <si>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</si>
  <si>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</si>
  <si>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</si>
  <si>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</si>
  <si>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</si>
  <si>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</si>
  <si>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</si>
  <si>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</si>
  <si>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</si>
  <si>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</si>
  <si>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</si>
  <si>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</si>
  <si>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</si>
  <si>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</si>
  <si>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</si>
  <si>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</si>
  <si>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</si>
  <si>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</si>
  <si>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</si>
  <si>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</si>
  <si>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</si>
  <si>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</si>
  <si>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</si>
  <si>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</si>
  <si>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</si>
  <si>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</si>
  <si>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</si>
  <si>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</si>
  <si>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</si>
  <si>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</si>
  <si>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</si>
  <si>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</si>
  <si>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</si>
  <si>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</si>
  <si>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</si>
  <si>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</si>
  <si>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</si>
  <si>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</si>
  <si>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</si>
  <si>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</si>
  <si>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</si>
  <si>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</si>
  <si>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</si>
  <si>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</si>
  <si>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</si>
  <si>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</si>
  <si>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</si>
  <si>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</si>
  <si>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</si>
  <si>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</si>
  <si>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</si>
  <si>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</si>
  <si>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</si>
  <si>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</si>
  <si>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</si>
  <si>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</si>
  <si>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</si>
  <si>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</si>
  <si>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</si>
  <si>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</si>
  <si>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</si>
  <si>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</si>
  <si>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</si>
  <si>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</si>
  <si>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</si>
  <si>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</si>
  <si>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</si>
  <si>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</si>
  <si>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</si>
  <si>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</si>
  <si>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</si>
  <si>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</si>
  <si>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</si>
  <si>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</si>
  <si>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</si>
  <si>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</si>
  <si>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</si>
  <si>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</si>
  <si>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</si>
  <si>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</si>
  <si>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</si>
  <si>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</si>
  <si>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</si>
  <si>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</si>
  <si>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</si>
  <si>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</si>
  <si>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</si>
  <si>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</si>
  <si>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</si>
  <si>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</si>
  <si>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</si>
  <si>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</si>
  <si>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</si>
  <si>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</si>
  <si>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</si>
  <si>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</si>
  <si>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</si>
  <si>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</si>
  <si>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</si>
  <si>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</si>
  <si>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</si>
  <si>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</si>
  <si>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</si>
  <si>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</si>
  <si>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</si>
  <si>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</si>
  <si>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</si>
  <si>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</si>
  <si>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</si>
  <si>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</si>
  <si>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</si>
  <si>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</si>
  <si>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</si>
  <si>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</si>
  <si>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</si>
  <si>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</si>
  <si>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</si>
  <si>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</si>
  <si>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</si>
  <si>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</si>
  <si>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</si>
  <si>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</si>
  <si>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</si>
  <si>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</si>
  <si>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</si>
  <si>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</si>
  <si>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</si>
  <si>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</si>
  <si>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</si>
  <si>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</si>
  <si>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</si>
  <si>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</si>
  <si>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</si>
  <si>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</si>
  <si>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</si>
  <si>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</si>
  <si>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</si>
  <si>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</si>
  <si>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</si>
  <si>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</si>
  <si>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</si>
  <si>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</si>
  <si>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</si>
  <si>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</si>
  <si>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</si>
  <si>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</si>
  <si>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</si>
  <si>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</si>
  <si>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</si>
  <si>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</si>
  <si>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</si>
  <si>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</si>
  <si>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</si>
  <si>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</si>
  <si>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</si>
  <si>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</si>
  <si>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</si>
  <si>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</si>
  <si>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</si>
  <si>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</si>
  <si>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</si>
  <si>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</si>
  <si>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</si>
  <si>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</si>
  <si>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</si>
  <si>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</si>
  <si>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</si>
  <si>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</si>
  <si>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</si>
  <si>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</si>
  <si>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</si>
  <si>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</si>
  <si>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</si>
  <si>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</si>
  <si>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</si>
  <si>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</si>
  <si>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</si>
  <si>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</si>
  <si>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</si>
  <si>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</si>
  <si>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</si>
  <si>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</si>
  <si>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</si>
  <si>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</si>
  <si>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</si>
  <si>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</si>
  <si>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</si>
  <si>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</si>
  <si>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</si>
  <si>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</si>
  <si>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</si>
  <si>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</si>
  <si>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</si>
  <si>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</si>
  <si>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</si>
  <si>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</si>
  <si>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</si>
  <si>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</si>
  <si>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</si>
  <si>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</si>
  <si>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</si>
  <si>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</si>
  <si>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</si>
  <si>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</si>
  <si>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</si>
  <si>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</si>
  <si>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</si>
  <si>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</si>
  <si>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</si>
  <si>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</si>
  <si>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</si>
  <si>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</si>
  <si>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</si>
  <si>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</si>
  <si>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</si>
  <si>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</si>
  <si>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</si>
  <si>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</si>
  <si>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</si>
  <si>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</si>
  <si>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</si>
  <si>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</si>
  <si>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</si>
  <si>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</si>
  <si>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</si>
  <si>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</si>
  <si>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</si>
  <si>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</si>
  <si>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</si>
  <si>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</si>
  <si>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</si>
  <si>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</si>
  <si>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</si>
  <si>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</si>
  <si>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</si>
  <si>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</si>
  <si>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</si>
  <si>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</si>
  <si>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</si>
  <si>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</si>
  <si>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</si>
  <si>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</si>
  <si>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</si>
  <si>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</si>
  <si>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</si>
  <si>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</si>
  <si>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</si>
  <si>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</si>
  <si>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</si>
  <si>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</si>
  <si>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</si>
  <si>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</si>
  <si>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</si>
  <si>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</si>
  <si>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</si>
  <si>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</si>
  <si>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</si>
  <si>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</si>
  <si>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</si>
  <si>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</si>
  <si>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</si>
  <si>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</si>
  <si>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</si>
  <si>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</si>
  <si>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</si>
  <si>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</si>
  <si>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</si>
  <si>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</si>
  <si>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</si>
  <si>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</si>
  <si>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</si>
  <si>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</si>
  <si>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</si>
  <si>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</si>
  <si>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</si>
  <si>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</si>
  <si>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</si>
  <si>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</si>
  <si>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</si>
  <si>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</si>
  <si>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</si>
  <si>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</si>
  <si>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</si>
  <si>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</si>
  <si>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</si>
  <si>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</si>
  <si>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</si>
  <si>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</si>
  <si>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</si>
  <si>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</si>
  <si>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</si>
  <si>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</si>
  <si>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</si>
  <si>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</si>
  <si>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</si>
  <si>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</si>
  <si>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</si>
  <si>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</si>
  <si>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</si>
  <si>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</si>
  <si>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</si>
  <si>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</si>
  <si>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</si>
  <si>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</si>
  <si>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</si>
  <si>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</si>
  <si>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</si>
  <si>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</si>
  <si>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</si>
  <si>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</si>
  <si>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</si>
  <si>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</si>
  <si>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</si>
  <si>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</si>
  <si>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</si>
  <si>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</si>
  <si>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</si>
  <si>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</si>
  <si>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</si>
  <si>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</si>
  <si>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</si>
  <si>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</si>
  <si>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</si>
  <si>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</si>
  <si>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</si>
  <si>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</si>
  <si>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</si>
  <si>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</si>
  <si>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</si>
  <si>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</si>
  <si>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</si>
  <si>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</si>
  <si>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</si>
  <si>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</si>
  <si>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</si>
  <si>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</si>
  <si>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</si>
  <si>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</si>
  <si>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</si>
  <si>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</si>
  <si>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</si>
  <si>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</si>
  <si>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</si>
  <si>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</si>
  <si>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</si>
  <si>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</si>
  <si>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</si>
  <si>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</si>
  <si>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</si>
  <si>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</si>
  <si>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</si>
  <si>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</si>
  <si>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</si>
  <si>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</si>
  <si>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</si>
  <si>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</si>
  <si>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</si>
  <si>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</si>
  <si>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</si>
  <si>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</si>
  <si>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</si>
  <si>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</si>
  <si>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</si>
  <si>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</si>
  <si>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</si>
  <si>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</si>
  <si>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</si>
  <si>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</si>
  <si>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</si>
  <si>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</si>
  <si>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</si>
  <si>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</si>
  <si>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</si>
  <si>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</si>
  <si>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</si>
  <si>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</si>
  <si>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</si>
  <si>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</si>
  <si>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</si>
  <si>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</si>
  <si>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</si>
  <si>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</si>
  <si>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</si>
  <si>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</si>
  <si>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</si>
  <si>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</si>
  <si>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</si>
  <si>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</si>
  <si>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</si>
  <si>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</si>
  <si>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</si>
  <si>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</si>
  <si>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</si>
  <si>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</si>
  <si>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</si>
  <si>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</si>
  <si>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</si>
  <si>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</si>
  <si>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</si>
  <si>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</si>
  <si>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</si>
  <si>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</si>
  <si>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</si>
  <si>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</si>
  <si>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</si>
  <si>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</si>
  <si>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</si>
  <si>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</si>
  <si>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</si>
  <si>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</si>
  <si>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</si>
  <si>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</si>
  <si>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</si>
  <si>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</si>
  <si>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</si>
  <si>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</si>
  <si>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</si>
  <si>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</si>
  <si>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</si>
  <si>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</si>
  <si>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</si>
  <si>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</si>
  <si>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</si>
  <si>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</si>
  <si>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</si>
  <si>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</si>
  <si>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</si>
  <si>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</si>
  <si>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</si>
  <si>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</si>
  <si>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</si>
  <si>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</si>
  <si>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</si>
  <si>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</si>
  <si>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</si>
  <si>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</si>
  <si>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</si>
  <si>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</si>
  <si>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</si>
  <si>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</si>
  <si>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</si>
  <si>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</si>
  <si>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</si>
  <si>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</si>
  <si>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</si>
  <si>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</si>
  <si>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</si>
  <si>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</si>
  <si>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</si>
  <si>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</si>
  <si>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</si>
  <si>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</si>
  <si>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</si>
  <si>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</si>
  <si>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</si>
  <si>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</si>
  <si>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</si>
  <si>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</si>
  <si>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</si>
  <si>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</si>
  <si>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</si>
  <si>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</si>
  <si>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</si>
  <si>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</si>
  <si>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</si>
  <si>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</si>
  <si>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</si>
  <si>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</si>
  <si>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</si>
  <si>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</si>
  <si>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</si>
  <si>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</si>
  <si>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</si>
  <si>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</si>
  <si>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</si>
  <si>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</si>
  <si>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</si>
  <si>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</si>
  <si>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</si>
  <si>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</si>
  <si>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</si>
  <si>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</si>
  <si>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</si>
  <si>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</si>
  <si>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</si>
  <si>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</si>
  <si>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</si>
  <si>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</si>
  <si>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</si>
  <si>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</si>
  <si>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</si>
  <si>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</si>
  <si>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</si>
  <si>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</si>
  <si>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</si>
  <si>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</si>
  <si>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</si>
  <si>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</si>
  <si>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</si>
  <si>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</si>
  <si>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</si>
  <si>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</si>
  <si>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</si>
  <si>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</si>
  <si>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</si>
  <si>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</si>
  <si>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</si>
  <si>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</si>
  <si>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</si>
  <si>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</si>
  <si>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</si>
  <si>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</si>
  <si>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</si>
  <si>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</si>
  <si>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</si>
  <si>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</si>
  <si>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</si>
  <si>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</si>
  <si>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</si>
  <si>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</si>
  <si>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</si>
  <si>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</si>
  <si>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</si>
  <si>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</si>
  <si>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</si>
  <si>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</si>
  <si>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</si>
  <si>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</si>
  <si>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</si>
  <si>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</si>
  <si>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</si>
  <si>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</si>
  <si>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</si>
  <si>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</si>
  <si>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</si>
  <si>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</si>
  <si>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</si>
  <si>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</si>
  <si>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</si>
  <si>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</si>
  <si>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</si>
  <si>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</si>
  <si>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</si>
  <si>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</si>
  <si>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</si>
  <si>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</si>
  <si>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</si>
  <si>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</si>
  <si>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</si>
  <si>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</si>
  <si>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</si>
  <si>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</si>
  <si>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</si>
  <si>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</si>
  <si>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</si>
  <si>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</si>
  <si>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</si>
  <si>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</si>
  <si>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</si>
  <si>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</si>
  <si>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</si>
  <si>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</si>
  <si>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</si>
  <si>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</si>
  <si>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</si>
  <si>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</si>
  <si>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</si>
  <si>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</si>
  <si>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</si>
  <si>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</si>
  <si>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</si>
  <si>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</si>
  <si>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</si>
  <si>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</si>
  <si>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</si>
  <si>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</si>
  <si>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</si>
  <si>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</si>
  <si>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</si>
  <si>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</si>
  <si>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</si>
  <si>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</si>
  <si>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</si>
  <si>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</si>
  <si>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</si>
  <si>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</si>
  <si>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</si>
  <si>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</si>
  <si>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</si>
  <si>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</si>
  <si>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</si>
  <si>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</si>
  <si>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</si>
  <si>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</si>
  <si>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</si>
  <si>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</si>
  <si>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</si>
  <si>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</si>
  <si>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</si>
  <si>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</si>
  <si>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</si>
  <si>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</si>
  <si>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</si>
  <si>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</si>
  <si>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</si>
  <si>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</si>
  <si>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</si>
  <si>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</si>
  <si>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</si>
  <si>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</si>
  <si>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</si>
  <si>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</si>
  <si>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</si>
  <si>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</si>
  <si>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</si>
  <si>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</si>
  <si>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</si>
  <si>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</si>
  <si>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</si>
  <si>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</si>
  <si>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</si>
  <si>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</si>
  <si>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</si>
  <si>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</si>
  <si>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</si>
  <si>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</si>
  <si>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</si>
  <si>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</si>
  <si>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</si>
  <si>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</si>
  <si>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</si>
  <si>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</si>
  <si>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</si>
  <si>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</si>
  <si>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</si>
  <si>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</si>
  <si>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</si>
  <si>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</si>
  <si>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</si>
  <si>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</si>
  <si>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</si>
  <si>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</si>
  <si>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</si>
  <si>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</si>
  <si>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</si>
  <si>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</si>
  <si>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</si>
  <si>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</si>
  <si>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</si>
  <si>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</si>
  <si>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</si>
  <si>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</si>
  <si>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</si>
  <si>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</si>
  <si>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</si>
  <si>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</si>
  <si>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</si>
  <si>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</si>
  <si>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wushu - bežné transfery</t>
  </si>
  <si>
    <t>Organizovanie podujatia, Názov: Majstrovstvá Slovenska vo wushu 2026. Miesto: Bratislava Termín: 30.6.2026</t>
  </si>
  <si>
    <t>df-576</t>
  </si>
  <si>
    <t>prenájom športových zariadení v objekte DOM ŠPORTU, MSR 2026</t>
  </si>
  <si>
    <t>DOM ŠPORTU, s.r.o</t>
  </si>
  <si>
    <t>df-579</t>
  </si>
  <si>
    <t>medailové ocenenia na MSR 2026</t>
  </si>
  <si>
    <t>3G, s.r.o.</t>
  </si>
  <si>
    <t>df-582</t>
  </si>
  <si>
    <t>grafické spracovanie propagačných materiálov  - MSR 2026 (medaile, pozvanka, diplomy)</t>
  </si>
  <si>
    <t>Ing.arch. Tatiana Hubová</t>
  </si>
  <si>
    <t>Organizovanie podujatia, Názov: Kung fu Deti 2025 2. kolo. Miesto: Stará Turá, Termín: 22.11.2025</t>
  </si>
  <si>
    <t>T-štúdio, s.r.o.</t>
  </si>
  <si>
    <t xml:space="preserve">prenajom telocvicne  pocas sutaze Kung fu deti 2 2025 </t>
  </si>
  <si>
    <t>Mestský športový areál Stará Turá s.r.o.</t>
  </si>
  <si>
    <t>df-555</t>
  </si>
  <si>
    <t>zasadnu</t>
  </si>
  <si>
    <t>df-558</t>
  </si>
  <si>
    <t>pracovny obed - zasadnutie Výkonného výboru, preplatenie platby v hotovosti, bd-0226, 20.1.2026</t>
  </si>
  <si>
    <t>Food Viet s.r.o.</t>
  </si>
  <si>
    <t>Názov: Zasadnutie výkonného výboru Miesto: Trnava, Dátum: 17.1.2026 Doprava: autom Počet prítomných: 4</t>
  </si>
  <si>
    <t>df-562</t>
  </si>
  <si>
    <t>ročné členské 2026 - Európska federácia Kung fu Wushu, WKFE membership fee 2026</t>
  </si>
  <si>
    <t>Wushu Kungfu Federation of Europe (NPO)</t>
  </si>
  <si>
    <t>df-568</t>
  </si>
  <si>
    <t>2026MF000433-00889</t>
  </si>
  <si>
    <t>IWUF Membership Fee, rocne clenske 2026 Medzinarodnej wushu federacii</t>
  </si>
  <si>
    <t>International Wushu Federation</t>
  </si>
  <si>
    <t>Pracovná cesta: Názov - Majstrovstvá Európy vo wushu, Miesto: Lyon, Francúzsko Dátum - 5.-11.5.2026, Doprava - letecky, Počet súťažiacich: 15 os., tréner doprovod - 1 osoba, rozhodca 1 osoba</t>
  </si>
  <si>
    <t>df-565</t>
  </si>
  <si>
    <t>df-566</t>
  </si>
  <si>
    <t>zaloha - rezervacia leteniek - ME vo wushu, Vienna - Lyon, 16 osob</t>
  </si>
  <si>
    <t>pelicantravel.com s.r.o.</t>
  </si>
  <si>
    <t>zaloha - rezervacia leteniek - ME vo wushu, Vienna - Lyon, 1 osob</t>
  </si>
  <si>
    <t>df-570</t>
  </si>
  <si>
    <t>df-571</t>
  </si>
  <si>
    <t>doplatok leteniek - ME vo wushu, Vienna - Lyon (16 osob)</t>
  </si>
  <si>
    <t>doplatok leteniek - ME vo wushu, Vienna - Lyon (1 osoba)</t>
  </si>
  <si>
    <t>df-580</t>
  </si>
  <si>
    <t>001/2026</t>
  </si>
  <si>
    <t>štartovné ME 2026 - 4 osoby, bez ubytovania</t>
  </si>
  <si>
    <t>FFAEMC</t>
  </si>
  <si>
    <t>Organizovanie podujatia, Názov: Kung fu Deti 2026 1. kolo. Miesto: Stará Turá, Termín: 28.3.2026</t>
  </si>
  <si>
    <t>df-572</t>
  </si>
  <si>
    <t>df-573</t>
  </si>
  <si>
    <t>medailové ocenenia na súťaž - Kung fu deti 1 2026</t>
  </si>
  <si>
    <t>00552500</t>
  </si>
  <si>
    <t>SABE, spol. s r.o.</t>
  </si>
  <si>
    <t>občerstvenie, darčeky pre súťažiacich - na súťaž - Kung fu deti 1 2026</t>
  </si>
  <si>
    <t>Biomila SK, s.r.o.</t>
  </si>
  <si>
    <t>df-578</t>
  </si>
  <si>
    <t>tlac diplomov - sutaz Kung fu deti 1 2026</t>
  </si>
  <si>
    <t>df-581</t>
  </si>
  <si>
    <t>Technické zabezpečenie kung fu deti 1, Úprava nastavení aplikácie pre súťaž Kungfu deti</t>
  </si>
  <si>
    <t>Sigilo, s.r.o.</t>
  </si>
  <si>
    <t>df-575</t>
  </si>
  <si>
    <t>ZT-company s. r. o.</t>
  </si>
  <si>
    <t>preprava športových kobercov na súťaž, tréning na športovom koberci, MSR 2026</t>
  </si>
  <si>
    <t>56512287</t>
  </si>
  <si>
    <t>20260014</t>
  </si>
  <si>
    <t>df-515</t>
  </si>
  <si>
    <t> 20250029</t>
  </si>
  <si>
    <t>df-518</t>
  </si>
  <si>
    <t>250016</t>
  </si>
  <si>
    <t>df-519</t>
  </si>
  <si>
    <t>01995</t>
  </si>
  <si>
    <t>df-520</t>
  </si>
  <si>
    <t>01996</t>
  </si>
  <si>
    <t>kondicne treningy - príprava na MS, Adam Bielčik a Mariia Stelmakh</t>
  </si>
  <si>
    <t>Marek Gajdács</t>
  </si>
  <si>
    <t>mesačný vstup fitness - Golem - Mariia Stelmakh,  preplatenie platby, bd-4225, 10.7.2025</t>
  </si>
  <si>
    <t>Premium Fit s.r.o.</t>
  </si>
  <si>
    <t>mesačný vstup fitness - Golem - Adam Bielčik,  preplatenie platby , bd-4325, 10.7.2025</t>
  </si>
  <si>
    <t>df-524</t>
  </si>
  <si>
    <t>20250730/013</t>
  </si>
  <si>
    <t>df-525</t>
  </si>
  <si>
    <t>0351</t>
  </si>
  <si>
    <t>df-526</t>
  </si>
  <si>
    <t>df-527</t>
  </si>
  <si>
    <t>25081101484</t>
  </si>
  <si>
    <t>df-528</t>
  </si>
  <si>
    <t>9911296648</t>
  </si>
  <si>
    <t>df-529</t>
  </si>
  <si>
    <t>122266347</t>
  </si>
  <si>
    <t>df-530</t>
  </si>
  <si>
    <t>OFA20251379</t>
  </si>
  <si>
    <t>df-531</t>
  </si>
  <si>
    <t>df-532</t>
  </si>
  <si>
    <t>2025/84</t>
  </si>
  <si>
    <t>športové zdr. prehliadky - Mariia Stelmakh, Adam Bielčik,  preplatenie platby v hotovosti, bd-4825, 1.8.2025</t>
  </si>
  <si>
    <t>MUDr. Alena Urvayová</t>
  </si>
  <si>
    <t>očkovanie - žtá zimnica - výjazd na MS do Brazílie - Mariia Stelmakh,  preplatenie platby v hotovosti, bd-4925, 1.8.2025</t>
  </si>
  <si>
    <t>Zama s.r.o</t>
  </si>
  <si>
    <t>očkovanie - žtá zimnica - výjazd na MS do Brazílie Adam Bielčik,  preplatenie platby v hotovosti, bd-5025, 1.8.2025</t>
  </si>
  <si>
    <t>puzdro na prepavu kratkych zbrani (mec, sabla), preplatenie platby v hotovosti, bd-5125, 11.8.2025</t>
  </si>
  <si>
    <t>Decathlon SK s.r.o.</t>
  </si>
  <si>
    <t>mesačný vstup fitness - Golem - Mariia Stelmakh,  preplatenie platby, bd-5225, 15.8.2025</t>
  </si>
  <si>
    <t>mesačný vstup fitness - Golem - Adam Bielčik,  preplatenie platby , bd-5325, 15.8.2025</t>
  </si>
  <si>
    <t>športové mikiny a tričká pre talentovanú mládež</t>
  </si>
  <si>
    <t>3b, s.r.o.</t>
  </si>
  <si>
    <t>potvrdenie o spôsobilosti účasti na MS v Brazílii - Mariia Stelmakh, preplatenie platby v hotovosti, bd-5525, 30.8.2025</t>
  </si>
  <si>
    <t>LH med s.r.o.</t>
  </si>
  <si>
    <t>potvrdenie o spôsobilosti účasti na MS v Brazílii - Adam Bielčik</t>
  </si>
  <si>
    <t>Amchi s.r.o.</t>
  </si>
  <si>
    <t>df-534</t>
  </si>
  <si>
    <t>df-535</t>
  </si>
  <si>
    <t>250093</t>
  </si>
  <si>
    <t>prenajom telocvicne na treningy tal. Mladeze</t>
  </si>
  <si>
    <t>športové prehliadky (7 x osoba), ergometria</t>
  </si>
  <si>
    <t>IMUNOSPORT s. r. o.</t>
  </si>
  <si>
    <t>df-541</t>
  </si>
  <si>
    <t>Gymnastická akadémia Bratislava o.z.</t>
  </si>
  <si>
    <t>df-551</t>
  </si>
  <si>
    <t>prenajom kobercov na trening</t>
  </si>
  <si>
    <t>00896071</t>
  </si>
  <si>
    <t>TJ Sokol Bratislava I Vinohrady</t>
  </si>
  <si>
    <t>df-556</t>
  </si>
  <si>
    <t>df-561</t>
  </si>
  <si>
    <t>Vstupné vyšetrenie fyzioterapeutom, fyzioterapia - Adam Bielčik</t>
  </si>
  <si>
    <t>Mgr. Katarína Paulovič</t>
  </si>
  <si>
    <t>df-563</t>
  </si>
  <si>
    <t>C5CWDF443</t>
  </si>
  <si>
    <t>df-564</t>
  </si>
  <si>
    <t>GXYRWWAUK</t>
  </si>
  <si>
    <t>ubytovanie počas sustredenia v Budapesti, 2 osoby (Adam Bielčik, Mariia Stelmakh),  preplatenie platby, bd-0826, 4.2.2026</t>
  </si>
  <si>
    <t>Airbnb Payments Luxembourg S.A.</t>
  </si>
  <si>
    <t>športové náčinie - talentovana mladež</t>
  </si>
  <si>
    <t>S.A.S. INSTITUT WUSHUGUAN</t>
  </si>
  <si>
    <t>df-574</t>
  </si>
  <si>
    <t>OFA20260331</t>
  </si>
  <si>
    <t>df-577</t>
  </si>
  <si>
    <t>preprava športových kobercov na súťaž, tréning na športovom koberci pre talentovanú mládež</t>
  </si>
  <si>
    <t>df-500</t>
  </si>
  <si>
    <t>Refakturacia nakladov za rok 2025 pre klub Cesty k rovnováhe</t>
  </si>
  <si>
    <t>Cesty k rovnováhe</t>
  </si>
  <si>
    <t>df-543</t>
  </si>
  <si>
    <t>df-544</t>
  </si>
  <si>
    <t>2025/1</t>
  </si>
  <si>
    <t>df-545</t>
  </si>
  <si>
    <t>2025/9</t>
  </si>
  <si>
    <t>df-546</t>
  </si>
  <si>
    <t>df-547</t>
  </si>
  <si>
    <t>df-548</t>
  </si>
  <si>
    <t>df-549</t>
  </si>
  <si>
    <t>df-550</t>
  </si>
  <si>
    <t>Refakturácia nákladov za rok 2025 - Wutai Slovakia</t>
  </si>
  <si>
    <t>Občianske združenie WUTAI Slovakia</t>
  </si>
  <si>
    <t>Refakturácia nákladov za rok 2025 - Wushu centrum Stará Tura</t>
  </si>
  <si>
    <t>Wushu centrum Stará Turá</t>
  </si>
  <si>
    <t>Refakturácia nákladov za rok 2025 - Škola čínskeho wushu</t>
  </si>
  <si>
    <t>Škola čínskeho wushu</t>
  </si>
  <si>
    <t>Refakturácia nákladov za rok 2025 - Wu shu klub Trnava Čínske bojové umenia a športy</t>
  </si>
  <si>
    <t>Wu shu klub Trnava Čínske bojové umenia a športy</t>
  </si>
  <si>
    <t xml:space="preserve">Refakturacia nakladov za rok 2025 - Chan Quan Kung Fu o.z. </t>
  </si>
  <si>
    <t xml:space="preserve">Chan Quan Kung Fu o.z. </t>
  </si>
  <si>
    <t>Refakturacia nakladov za rok 2025 - Wu shu team Slovakia</t>
  </si>
  <si>
    <t>Wu shu team Slovakia</t>
  </si>
  <si>
    <t>Refakturacia nakladov za rok 2025 - Slovenská asociácia kung fu</t>
  </si>
  <si>
    <t>Slovenská asociácia kung fu</t>
  </si>
  <si>
    <t>Refakturacia nakladov za rok 2025 -Shaolinské kultúrne centrum Slovensko</t>
  </si>
  <si>
    <t>Shaolinské kultúrne centrum Slovensko</t>
  </si>
  <si>
    <t>df-553</t>
  </si>
  <si>
    <t>Refakturacia nakladov za rok 2025 - Kung-fu centrum Šaľa</t>
  </si>
  <si>
    <t>Kung-fu centrum Šaľa</t>
  </si>
  <si>
    <t>df-557</t>
  </si>
  <si>
    <t>postovne, preplatenie platby v hotovosti, bd-0126, 19.1.2026</t>
  </si>
  <si>
    <t>Slovenská pošta a.s.</t>
  </si>
  <si>
    <t>df-559</t>
  </si>
  <si>
    <t>df-560</t>
  </si>
  <si>
    <t>wushuslovakia.sk Hosting</t>
  </si>
  <si>
    <t>Websupport s. r. o.</t>
  </si>
  <si>
    <t>wushuslovakia.sk Doména</t>
  </si>
  <si>
    <t>df-567</t>
  </si>
  <si>
    <t>učtovna evidencia 2025, vypracovanie účtovnej závierky a daňového priznania 2025.</t>
  </si>
  <si>
    <t>carnone s.r.o.</t>
  </si>
  <si>
    <t>df-569</t>
  </si>
  <si>
    <t>poplatok za zahranicny prevod</t>
  </si>
  <si>
    <t>Fio banka, a.s.,</t>
  </si>
  <si>
    <t>36631124</t>
  </si>
  <si>
    <t>df-542</t>
  </si>
  <si>
    <t>4214729</t>
  </si>
  <si>
    <t>ocenenia - medaile - Kung fu deti 2 -  juniorska sutaz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</si>
</sst>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11"/>
      <color indexed="8"/>
      <name val="Calibri"/>
      <family val="2"/>
      <charset val="238"/>
    </font>
    <font>
      <sz val="8"/>
      <color rgb="FF1F1F1F"/>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xf numFmtId="0" fontId="90" fillId="0" borderId="0"/>
  </cellStyleXfs>
  <cellXfs count="379">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49" fontId="91" fillId="3" borderId="0" xfId="0" applyNumberFormat="1" applyFont="1" applyFill="1" applyAlignment="1" applyProtection="1">
      <alignment vertical="top" wrapText="1"/>
      <protection locked="0"/>
    </xf>
  </cellXfs>
  <cellStyles count="33">
    <cellStyle name="Excel Built-in Normal" xfId="32" xr:uid="{F9352ED4-7C92-4735-AAD5-F16DFEF6CEAC}"/>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30" val="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6" zoomScaleNormal="100" workbookViewId="0">
      <selection activeCell="A78" sqref="A78"/>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47"/>
      <c r="D1" s="34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1690</v>
      </c>
      <c r="C6" s="205"/>
      <c r="D6" s="205"/>
    </row>
    <row r="7" spans="1:4" s="18" customFormat="1" ht="15" customHeight="1" x14ac:dyDescent="0.25">
      <c r="A7" s="296" t="s">
        <v>4</v>
      </c>
      <c r="C7" s="205"/>
      <c r="D7" s="205"/>
    </row>
    <row r="8" spans="1:4" s="18" customFormat="1" ht="15" customHeight="1" x14ac:dyDescent="0.25">
      <c r="A8" s="269" t="s">
        <v>1338</v>
      </c>
      <c r="C8" s="205"/>
      <c r="D8" s="205"/>
    </row>
    <row r="9" spans="1:4" s="18" customFormat="1" ht="15" customHeight="1" x14ac:dyDescent="0.25">
      <c r="A9" s="269" t="s">
        <v>1339</v>
      </c>
      <c r="C9" s="205"/>
      <c r="D9" s="205"/>
    </row>
    <row r="10" spans="1:4" s="18" customFormat="1" ht="15.75" customHeight="1" x14ac:dyDescent="0.25">
      <c r="A10" s="296" t="s">
        <v>1340</v>
      </c>
      <c r="C10" s="205"/>
      <c r="D10" s="205"/>
    </row>
    <row r="11" spans="1:4" s="18" customFormat="1" ht="42.75" customHeight="1" x14ac:dyDescent="0.25">
      <c r="A11" s="296" t="s">
        <v>1341</v>
      </c>
      <c r="C11" s="205"/>
      <c r="D11" s="205"/>
    </row>
    <row r="12" spans="1:4" s="18" customFormat="1" ht="20.399999999999999" customHeight="1" x14ac:dyDescent="0.25">
      <c r="A12" s="304" t="s">
        <v>1360</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05.0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48"/>
      <c r="D21" s="348"/>
    </row>
    <row r="22" spans="1:4" x14ac:dyDescent="0.25">
      <c r="C22" s="349"/>
      <c r="D22" s="348"/>
    </row>
    <row r="23" spans="1:4" ht="66" x14ac:dyDescent="0.25">
      <c r="A23" s="23" t="s">
        <v>1361</v>
      </c>
      <c r="C23" s="255"/>
      <c r="D23" s="256"/>
    </row>
    <row r="24" spans="1:4" ht="12.75" customHeight="1" x14ac:dyDescent="0.25">
      <c r="C24" s="345"/>
      <c r="D24" s="34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1342</v>
      </c>
    </row>
    <row r="32" spans="1:4" ht="12.6" customHeight="1" x14ac:dyDescent="0.25"/>
    <row r="33" spans="1:3" ht="15.75" customHeight="1" x14ac:dyDescent="0.25">
      <c r="A33" s="19" t="s">
        <v>1343</v>
      </c>
    </row>
    <row r="34" spans="1:3" ht="12.6" customHeight="1" x14ac:dyDescent="0.25"/>
    <row r="35" spans="1:3" ht="52.8" x14ac:dyDescent="0.25">
      <c r="A35" s="19" t="s">
        <v>1345</v>
      </c>
    </row>
    <row r="36" spans="1:3" ht="12" customHeight="1" x14ac:dyDescent="0.25"/>
    <row r="37" spans="1:3" ht="26.4" x14ac:dyDescent="0.25">
      <c r="A37" s="271" t="s">
        <v>1344</v>
      </c>
    </row>
    <row r="39" spans="1:3" ht="79.2" x14ac:dyDescent="0.25">
      <c r="A39" s="23" t="s">
        <v>1346</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1347</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1348</v>
      </c>
    </row>
    <row r="49" spans="1:1" ht="12" customHeight="1" x14ac:dyDescent="0.25"/>
    <row r="50" spans="1:1" ht="39.6" x14ac:dyDescent="0.25">
      <c r="A50" s="19" t="s">
        <v>1349</v>
      </c>
    </row>
    <row r="51" spans="1:1" ht="12.75" customHeight="1" x14ac:dyDescent="0.25"/>
    <row r="52" spans="1:1" ht="79.2" x14ac:dyDescent="0.25">
      <c r="A52" s="19" t="s">
        <v>1350</v>
      </c>
    </row>
    <row r="53" spans="1:1" ht="12.75" customHeight="1" x14ac:dyDescent="0.25"/>
    <row r="54" spans="1:1" ht="39.6" x14ac:dyDescent="0.25">
      <c r="A54" s="19" t="s">
        <v>1351</v>
      </c>
    </row>
    <row r="56" spans="1:1" x14ac:dyDescent="0.25">
      <c r="A56" s="19" t="s">
        <v>16</v>
      </c>
    </row>
    <row r="58" spans="1:1" x14ac:dyDescent="0.25">
      <c r="A58" s="19" t="s">
        <v>17</v>
      </c>
    </row>
    <row r="60" spans="1:1" ht="121.8" customHeight="1" x14ac:dyDescent="0.25">
      <c r="A60" s="23" t="s">
        <v>1352</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1353</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1371</v>
      </c>
    </row>
    <row r="73" spans="1:1" ht="39.6" x14ac:dyDescent="0.25">
      <c r="A73" s="23" t="s">
        <v>1372</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1362</v>
      </c>
    </row>
    <row r="96" spans="1:2" x14ac:dyDescent="0.25">
      <c r="A96" s="23"/>
    </row>
    <row r="97" spans="1:4" x14ac:dyDescent="0.25">
      <c r="A97" s="260" t="s">
        <v>40</v>
      </c>
    </row>
    <row r="98" spans="1:4" ht="68.400000000000006" customHeight="1" x14ac:dyDescent="0.25">
      <c r="A98" s="23" t="s">
        <v>1363</v>
      </c>
    </row>
    <row r="99" spans="1:4" x14ac:dyDescent="0.25">
      <c r="A99" s="23"/>
    </row>
    <row r="100" spans="1:4" x14ac:dyDescent="0.25">
      <c r="A100" s="260" t="s">
        <v>41</v>
      </c>
    </row>
    <row r="101" spans="1:4" ht="79.2" x14ac:dyDescent="0.25">
      <c r="A101" s="23" t="s">
        <v>1364</v>
      </c>
    </row>
    <row r="102" spans="1:4" x14ac:dyDescent="0.25">
      <c r="A102" s="23"/>
    </row>
    <row r="103" spans="1:4" x14ac:dyDescent="0.25">
      <c r="A103" s="297" t="s">
        <v>42</v>
      </c>
    </row>
    <row r="104" spans="1:4" ht="52.8" x14ac:dyDescent="0.25">
      <c r="A104" s="23" t="s">
        <v>1365</v>
      </c>
    </row>
    <row r="105" spans="1:4" x14ac:dyDescent="0.25">
      <c r="A105" s="23"/>
      <c r="B105" s="20" t="s">
        <v>43</v>
      </c>
    </row>
    <row r="106" spans="1:4" x14ac:dyDescent="0.25">
      <c r="A106" s="260" t="s">
        <v>44</v>
      </c>
    </row>
    <row r="107" spans="1:4" ht="71.25" customHeight="1" x14ac:dyDescent="0.25">
      <c r="A107" s="19" t="s">
        <v>1366</v>
      </c>
    </row>
    <row r="108" spans="1:4" ht="39.6" x14ac:dyDescent="0.25">
      <c r="A108" s="19" t="s">
        <v>1356</v>
      </c>
    </row>
    <row r="109" spans="1:4" ht="26.4" x14ac:dyDescent="0.25">
      <c r="A109" s="19" t="s">
        <v>45</v>
      </c>
    </row>
    <row r="110" spans="1:4" ht="10.5" customHeight="1" x14ac:dyDescent="0.25">
      <c r="D110" s="20" t="s">
        <v>43</v>
      </c>
    </row>
    <row r="111" spans="1:4" ht="99.75" customHeight="1" x14ac:dyDescent="0.25">
      <c r="A111" s="23" t="s">
        <v>1355</v>
      </c>
    </row>
    <row r="112" spans="1:4" ht="26.4" x14ac:dyDescent="0.25">
      <c r="A112" s="19" t="s">
        <v>1354</v>
      </c>
    </row>
    <row r="114" spans="1:2" ht="184.8" x14ac:dyDescent="0.25">
      <c r="A114" s="23" t="s">
        <v>1367</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1368</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1357</v>
      </c>
    </row>
    <row r="133" spans="1:1" ht="61.5" customHeight="1" x14ac:dyDescent="0.25">
      <c r="A133" s="303" t="s">
        <v>1369</v>
      </c>
    </row>
    <row r="134" spans="1:1" x14ac:dyDescent="0.25">
      <c r="A134" s="260" t="s">
        <v>1370</v>
      </c>
    </row>
    <row r="135" spans="1:1" ht="105.6" x14ac:dyDescent="0.25">
      <c r="A135" s="303" t="s">
        <v>1358</v>
      </c>
    </row>
    <row r="136" spans="1:1" x14ac:dyDescent="0.25">
      <c r="A136"/>
    </row>
    <row r="137" spans="1:1" ht="71.55" customHeight="1" x14ac:dyDescent="0.25">
      <c r="A137" s="302" t="s">
        <v>1359</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50" t="s">
        <v>57</v>
      </c>
      <c r="B1" s="350"/>
      <c r="C1" s="350"/>
      <c r="D1" s="350"/>
      <c r="E1" s="350"/>
      <c r="F1" s="350"/>
      <c r="G1" s="350"/>
      <c r="H1" s="350"/>
      <c r="I1" s="52"/>
      <c r="J1" s="37"/>
    </row>
    <row r="2" spans="1:11" ht="15.6" x14ac:dyDescent="0.3">
      <c r="A2" s="356" t="s">
        <v>58</v>
      </c>
      <c r="B2" s="356"/>
      <c r="C2" s="356"/>
      <c r="D2" s="356"/>
      <c r="E2" s="356"/>
      <c r="F2" s="356"/>
      <c r="G2" s="356"/>
      <c r="H2" s="354" t="str">
        <f>+Doklady!I100</f>
        <v>V3</v>
      </c>
      <c r="I2" s="354"/>
    </row>
    <row r="3" spans="1:11" ht="13.8" x14ac:dyDescent="0.25">
      <c r="A3" s="40"/>
      <c r="B3" s="40"/>
      <c r="C3" s="40"/>
      <c r="D3" s="40"/>
      <c r="E3" s="40"/>
      <c r="F3" s="40"/>
      <c r="G3" s="40"/>
      <c r="H3" s="355">
        <f>+Doklady!I101</f>
        <v>45887</v>
      </c>
      <c r="I3" s="355"/>
    </row>
    <row r="4" spans="1:11" ht="15.75" customHeight="1" x14ac:dyDescent="0.25">
      <c r="A4" s="41" t="s">
        <v>59</v>
      </c>
      <c r="B4" s="351" t="s">
        <v>60</v>
      </c>
      <c r="C4" s="352"/>
      <c r="D4" s="352"/>
      <c r="E4" s="35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4" priority="2" stopIfTrue="1">
      <formula>$A78&lt;&gt;""</formula>
    </cfRule>
  </conditionalFormatting>
  <conditionalFormatting sqref="A8:I76 I78">
    <cfRule type="expression" dxfId="93" priority="7" stopIfTrue="1">
      <formula>$A8&lt;&gt;""</formula>
    </cfRule>
  </conditionalFormatting>
  <conditionalFormatting sqref="B78:H2888">
    <cfRule type="expression" dxfId="92" priority="3" stopIfTrue="1">
      <formula>$A78&lt;&gt;""</formula>
    </cfRule>
  </conditionalFormatting>
  <conditionalFormatting sqref="D2886:D2913">
    <cfRule type="expression" dxfId="91"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59" t="s">
        <v>311</v>
      </c>
      <c r="B1" s="360"/>
      <c r="C1" s="174">
        <v>45688</v>
      </c>
      <c r="D1" s="26"/>
      <c r="G1" s="252">
        <v>45688</v>
      </c>
    </row>
    <row r="2" spans="1:7" ht="13.8" x14ac:dyDescent="0.25">
      <c r="A2" s="28"/>
      <c r="B2" s="28"/>
      <c r="G2" s="252">
        <v>45716</v>
      </c>
    </row>
    <row r="3" spans="1:7" ht="13.8" x14ac:dyDescent="0.25">
      <c r="A3" s="30" t="s">
        <v>312</v>
      </c>
      <c r="B3" s="357" t="str">
        <f>INDEX(Adr!B:B,Doklady!B102+1)</f>
        <v>Slovenská asociácia čínskeho wushu</v>
      </c>
      <c r="C3" s="357"/>
      <c r="D3" s="357"/>
      <c r="G3" s="252">
        <v>45747</v>
      </c>
    </row>
    <row r="4" spans="1:7" ht="13.8" x14ac:dyDescent="0.25">
      <c r="A4" s="30" t="s">
        <v>313</v>
      </c>
      <c r="B4" s="29" t="str">
        <f>RIGHT("0000"&amp;INDEX(Adr!A:A,Doklady!B102+1),8)</f>
        <v>42019541</v>
      </c>
      <c r="G4" s="252">
        <v>45777</v>
      </c>
    </row>
    <row r="5" spans="1:7" ht="13.8" x14ac:dyDescent="0.25">
      <c r="A5" s="30" t="s">
        <v>314</v>
      </c>
      <c r="B5" s="29" t="str">
        <f>INDEX(Adr!D:D,Doklady!B102+1)&amp;", "&amp;INDEX(Adr!E:E,Doklady!B102+1)</f>
        <v>Ladislava Dérera 35,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30377</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30377</v>
      </c>
      <c r="G15" s="252"/>
    </row>
    <row r="16" spans="1:7" ht="13.8" x14ac:dyDescent="0.25">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9"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33" t="s">
        <v>329</v>
      </c>
      <c r="B1" s="333"/>
      <c r="C1" s="333"/>
      <c r="D1" s="333"/>
      <c r="E1" s="333"/>
      <c r="F1" s="333"/>
      <c r="G1" s="333"/>
      <c r="H1" s="333"/>
      <c r="I1" s="333"/>
    </row>
    <row r="2" spans="1:26" ht="7.5" customHeight="1" x14ac:dyDescent="0.2">
      <c r="C2" s="8"/>
      <c r="D2" s="8"/>
      <c r="E2" s="8"/>
      <c r="F2" s="8"/>
      <c r="G2" s="8"/>
      <c r="H2" s="8"/>
      <c r="I2" s="8"/>
    </row>
    <row r="3" spans="1:26" s="9" customFormat="1" ht="26.1" customHeight="1" x14ac:dyDescent="0.25">
      <c r="B3" s="160" t="s">
        <v>59</v>
      </c>
      <c r="C3" s="334" t="str">
        <f>INDEX(Adr!B2:B151,Doklady!B102)</f>
        <v>Slovenská asociácia čínskeho wushu</v>
      </c>
      <c r="D3" s="334"/>
      <c r="E3" s="334"/>
      <c r="F3" s="334"/>
      <c r="G3" s="215"/>
      <c r="H3" s="215"/>
      <c r="I3" s="65" t="str">
        <f>Doklady!I100</f>
        <v>V3</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INDEX(Adr!A2:A151,Doklady!B102)</f>
        <v>42019541</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INDEX(Adr!D2:D151,Doklady!B102)&amp;", "&amp;INDEX(Adr!E2:E151,Doklady!B102)&amp;", "&amp;INDEX(Adr!F2:F151,Doklady!B102)</f>
        <v>Ladislava Dérera 35, Bratislava, 831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35" t="s">
        <v>334</v>
      </c>
      <c r="F9" s="336"/>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29">
        <f>SUMIF(K:K,A10,I:I)</f>
        <v>0</v>
      </c>
      <c r="F10" s="330"/>
      <c r="L10" s="120" t="s">
        <v>335</v>
      </c>
      <c r="M10" s="118"/>
      <c r="N10" s="118"/>
      <c r="O10" s="118"/>
      <c r="P10" s="118"/>
      <c r="Q10" s="118"/>
      <c r="R10" s="118"/>
      <c r="S10" s="118"/>
    </row>
    <row r="11" spans="1:26" ht="17.399999999999999" x14ac:dyDescent="0.3">
      <c r="A11" s="69" t="s">
        <v>319</v>
      </c>
      <c r="B11" s="70" t="s">
        <v>320</v>
      </c>
      <c r="C11" s="126">
        <f>SUMIF(FP!J:J,Doklady!$B$1&amp;A11,FP!D:D)</f>
        <v>30377</v>
      </c>
      <c r="D11" s="126">
        <f>+C11-E11</f>
        <v>30376.02</v>
      </c>
      <c r="E11" s="337">
        <f>+I39-I42+I44-I47</f>
        <v>0.97999999999956344</v>
      </c>
      <c r="F11" s="338"/>
      <c r="J11" s="176"/>
      <c r="L11" s="161" t="str">
        <f>L41</f>
        <v>a - wushu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29">
        <f>SUMIF(K:K,A12,I:I)</f>
        <v>0</v>
      </c>
      <c r="F12" s="330"/>
      <c r="J12" s="177"/>
      <c r="L12" s="161" t="str">
        <f>L42</f>
        <v>a - wushu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29">
        <f>SUMIF(K:K,A13,I:I)</f>
        <v>0</v>
      </c>
      <c r="F13" s="33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21" t="s">
        <v>337</v>
      </c>
      <c r="C16" s="322"/>
      <c r="D16" s="322"/>
      <c r="E16" s="322"/>
      <c r="F16" s="322"/>
      <c r="G16" s="322"/>
      <c r="H16" s="32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24" t="s">
        <v>340</v>
      </c>
      <c r="C17" s="324"/>
      <c r="D17" s="324"/>
      <c r="E17" s="324"/>
      <c r="F17" s="324"/>
      <c r="G17" s="324"/>
      <c r="H17" s="324"/>
      <c r="I17" s="73">
        <f>SUMIF(FP!I:I,Doklady!$B$1&amp;A17,FP!D:D)</f>
        <v>30377</v>
      </c>
      <c r="T17" s="86"/>
    </row>
    <row r="18" spans="1:20" x14ac:dyDescent="0.2">
      <c r="A18" s="135" t="s">
        <v>341</v>
      </c>
      <c r="B18" s="324" t="s">
        <v>342</v>
      </c>
      <c r="C18" s="324"/>
      <c r="D18" s="324"/>
      <c r="E18" s="324"/>
      <c r="F18" s="324"/>
      <c r="G18" s="324"/>
      <c r="H18" s="324"/>
      <c r="I18" s="73">
        <f>SUMIF(FP!I:I,Doklady!$B$1&amp;A18,FP!D:D)</f>
        <v>0</v>
      </c>
    </row>
    <row r="19" spans="1:20" x14ac:dyDescent="0.2">
      <c r="A19" s="115" t="s">
        <v>343</v>
      </c>
      <c r="B19" s="324" t="s">
        <v>344</v>
      </c>
      <c r="C19" s="324"/>
      <c r="D19" s="324"/>
      <c r="E19" s="324"/>
      <c r="F19" s="324"/>
      <c r="G19" s="324"/>
      <c r="H19" s="324"/>
      <c r="I19" s="73">
        <f>SUMIF(FP!I:I,Doklady!$B$1&amp;A19,FP!D:D)</f>
        <v>0</v>
      </c>
    </row>
    <row r="20" spans="1:20" x14ac:dyDescent="0.2">
      <c r="A20" s="135" t="s">
        <v>345</v>
      </c>
      <c r="B20" s="318" t="s">
        <v>346</v>
      </c>
      <c r="C20" s="319"/>
      <c r="D20" s="319"/>
      <c r="E20" s="319"/>
      <c r="F20" s="319"/>
      <c r="G20" s="319"/>
      <c r="H20" s="320"/>
      <c r="I20" s="73">
        <f>SUMIF(FP!I:I,Doklady!$B$1&amp;A20,FP!D:D)</f>
        <v>0</v>
      </c>
      <c r="T20" s="86"/>
    </row>
    <row r="21" spans="1:20" x14ac:dyDescent="0.2">
      <c r="A21" s="115" t="s">
        <v>347</v>
      </c>
      <c r="B21" s="318" t="s">
        <v>348</v>
      </c>
      <c r="C21" s="319"/>
      <c r="D21" s="319"/>
      <c r="E21" s="319"/>
      <c r="F21" s="319"/>
      <c r="G21" s="319"/>
      <c r="H21" s="320"/>
      <c r="I21" s="73">
        <f>SUMIF(FP!I:I,Doklady!$B$1&amp;A21,FP!D:D)</f>
        <v>0</v>
      </c>
      <c r="T21" s="86"/>
    </row>
    <row r="22" spans="1:20" x14ac:dyDescent="0.2">
      <c r="A22" s="135" t="s">
        <v>349</v>
      </c>
      <c r="B22" s="325" t="s">
        <v>350</v>
      </c>
      <c r="C22" s="326"/>
      <c r="D22" s="326"/>
      <c r="E22" s="326"/>
      <c r="F22" s="326"/>
      <c r="G22" s="326"/>
      <c r="H22" s="327"/>
      <c r="I22" s="73">
        <f>SUMIF(FP!I:I,Doklady!$B$1&amp;A22,FP!D:D)</f>
        <v>0</v>
      </c>
      <c r="T22" s="86"/>
    </row>
    <row r="23" spans="1:20" x14ac:dyDescent="0.2">
      <c r="A23" s="115" t="s">
        <v>351</v>
      </c>
      <c r="B23" s="318" t="s">
        <v>352</v>
      </c>
      <c r="C23" s="319"/>
      <c r="D23" s="319"/>
      <c r="E23" s="319"/>
      <c r="F23" s="319"/>
      <c r="G23" s="319"/>
      <c r="H23" s="320"/>
      <c r="I23" s="73">
        <f>SUMIF(FP!I:I,Doklady!$B$1&amp;A23,FP!D:D)</f>
        <v>0</v>
      </c>
      <c r="T23" s="86"/>
    </row>
    <row r="24" spans="1:20" x14ac:dyDescent="0.2">
      <c r="A24" s="135" t="s">
        <v>353</v>
      </c>
      <c r="B24" s="318" t="s">
        <v>354</v>
      </c>
      <c r="C24" s="319"/>
      <c r="D24" s="319"/>
      <c r="E24" s="319"/>
      <c r="F24" s="319"/>
      <c r="G24" s="319"/>
      <c r="H24" s="320"/>
      <c r="I24" s="73">
        <f>SUMIF(FP!I:I,Doklady!$B$1&amp;A24,FP!D:D)</f>
        <v>0</v>
      </c>
      <c r="T24" s="86"/>
    </row>
    <row r="25" spans="1:20" x14ac:dyDescent="0.2">
      <c r="A25" s="115" t="s">
        <v>355</v>
      </c>
      <c r="B25" s="341" t="s">
        <v>2282</v>
      </c>
      <c r="C25" s="342"/>
      <c r="D25" s="342"/>
      <c r="E25" s="342"/>
      <c r="F25" s="342"/>
      <c r="G25" s="342"/>
      <c r="H25" s="343"/>
      <c r="I25" s="73">
        <f>SUMIF(FP!I:I,Doklady!$B$1&amp;A25,FP!D:D)</f>
        <v>0</v>
      </c>
      <c r="T25" s="86"/>
    </row>
    <row r="26" spans="1:20" x14ac:dyDescent="0.2">
      <c r="A26" s="135" t="s">
        <v>356</v>
      </c>
      <c r="B26" s="318" t="s">
        <v>357</v>
      </c>
      <c r="C26" s="319"/>
      <c r="D26" s="319"/>
      <c r="E26" s="319"/>
      <c r="F26" s="319"/>
      <c r="G26" s="319"/>
      <c r="H26" s="320"/>
      <c r="I26" s="73">
        <f>SUMIF(FP!I:I,Doklady!$B$1&amp;A26,FP!D:D)</f>
        <v>0</v>
      </c>
      <c r="T26" s="86"/>
    </row>
    <row r="27" spans="1:20" x14ac:dyDescent="0.2">
      <c r="A27" s="115" t="s">
        <v>358</v>
      </c>
      <c r="B27" s="318" t="s">
        <v>359</v>
      </c>
      <c r="C27" s="319"/>
      <c r="D27" s="319"/>
      <c r="E27" s="319"/>
      <c r="F27" s="319"/>
      <c r="G27" s="319"/>
      <c r="H27" s="320"/>
      <c r="I27" s="73">
        <f>SUMIF(FP!I:I,Doklady!$B$1&amp;A27,FP!D:D)</f>
        <v>0</v>
      </c>
      <c r="T27" s="86"/>
    </row>
    <row r="28" spans="1:20" x14ac:dyDescent="0.2">
      <c r="A28" s="135" t="s">
        <v>360</v>
      </c>
      <c r="B28" s="318" t="s">
        <v>361</v>
      </c>
      <c r="C28" s="319"/>
      <c r="D28" s="319"/>
      <c r="E28" s="319"/>
      <c r="F28" s="319"/>
      <c r="G28" s="319"/>
      <c r="H28" s="320"/>
      <c r="I28" s="73">
        <f>SUMIF(FP!I:I,Doklady!$B$1&amp;A28,FP!D:D)</f>
        <v>0</v>
      </c>
      <c r="T28" s="86"/>
    </row>
    <row r="29" spans="1:20" x14ac:dyDescent="0.2">
      <c r="A29" s="115" t="s">
        <v>362</v>
      </c>
      <c r="B29" s="318" t="s">
        <v>363</v>
      </c>
      <c r="C29" s="319"/>
      <c r="D29" s="319"/>
      <c r="E29" s="319"/>
      <c r="F29" s="319"/>
      <c r="G29" s="319"/>
      <c r="H29" s="320"/>
      <c r="I29" s="73">
        <f>SUMIF(FP!I:I,Doklady!$B$1&amp;A29,FP!D:D)</f>
        <v>0</v>
      </c>
      <c r="T29" s="86"/>
    </row>
    <row r="30" spans="1:20" hidden="1" x14ac:dyDescent="0.2">
      <c r="A30" s="135" t="s">
        <v>364</v>
      </c>
      <c r="B30" s="318"/>
      <c r="C30" s="319"/>
      <c r="D30" s="319"/>
      <c r="E30" s="319"/>
      <c r="F30" s="319"/>
      <c r="G30" s="319"/>
      <c r="H30" s="320"/>
      <c r="I30" s="73">
        <f>SUMIF(FP!I:I,Doklady!$B$1&amp;A30,FP!D:D)</f>
        <v>0</v>
      </c>
      <c r="T30" s="86"/>
    </row>
    <row r="31" spans="1:20" hidden="1" x14ac:dyDescent="0.2">
      <c r="A31" s="115" t="s">
        <v>365</v>
      </c>
      <c r="B31" s="318"/>
      <c r="C31" s="319"/>
      <c r="D31" s="319"/>
      <c r="E31" s="319"/>
      <c r="F31" s="319"/>
      <c r="G31" s="319"/>
      <c r="H31" s="320"/>
      <c r="I31" s="73">
        <f>SUMIF(FP!I:I,Doklady!$B$1&amp;A31,FP!D:D)</f>
        <v>0</v>
      </c>
      <c r="T31" s="86"/>
    </row>
    <row r="32" spans="1:20" hidden="1" x14ac:dyDescent="0.2">
      <c r="A32" s="135" t="s">
        <v>366</v>
      </c>
      <c r="B32" s="314"/>
      <c r="C32" s="315"/>
      <c r="D32" s="315"/>
      <c r="E32" s="315"/>
      <c r="F32" s="315"/>
      <c r="G32" s="315"/>
      <c r="H32" s="316"/>
      <c r="I32" s="73">
        <f>SUMIF(FP!I:I,Doklady!$B$1&amp;A32,FP!D:D)</f>
        <v>0</v>
      </c>
      <c r="T32" s="86"/>
    </row>
    <row r="33" spans="1:21" hidden="1" x14ac:dyDescent="0.2">
      <c r="A33" s="115" t="s">
        <v>367</v>
      </c>
      <c r="B33" s="314"/>
      <c r="C33" s="315"/>
      <c r="D33" s="315"/>
      <c r="E33" s="315"/>
      <c r="F33" s="315"/>
      <c r="G33" s="315"/>
      <c r="H33" s="316"/>
      <c r="I33" s="73">
        <f>SUMIF(FP!I:I,Doklady!$B$1&amp;A33,FP!D:D)</f>
        <v>0</v>
      </c>
      <c r="T33" s="86"/>
    </row>
    <row r="34" spans="1:21" hidden="1" x14ac:dyDescent="0.2">
      <c r="A34" s="135" t="s">
        <v>368</v>
      </c>
      <c r="B34" s="317"/>
      <c r="C34" s="317"/>
      <c r="D34" s="317"/>
      <c r="E34" s="317"/>
      <c r="F34" s="317"/>
      <c r="G34" s="317"/>
      <c r="H34" s="317"/>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wushu</v>
      </c>
      <c r="C38" s="68" t="s">
        <v>1687</v>
      </c>
      <c r="D38" s="68" t="s">
        <v>1688</v>
      </c>
      <c r="E38" s="68" t="s">
        <v>1689</v>
      </c>
      <c r="F38" s="68" t="s">
        <v>1686</v>
      </c>
      <c r="G38" s="68" t="s">
        <v>370</v>
      </c>
      <c r="H38" s="68" t="s">
        <v>371</v>
      </c>
      <c r="I38" s="67" t="s">
        <v>327</v>
      </c>
      <c r="L38" s="84">
        <f>COUNTIF(FP!N:N,Doklady!B1&amp;"aB")</f>
        <v>1</v>
      </c>
    </row>
    <row r="39" spans="1:21" x14ac:dyDescent="0.2">
      <c r="A39" s="115" t="s">
        <v>339</v>
      </c>
      <c r="B39" s="116" t="s">
        <v>372</v>
      </c>
      <c r="C39" s="78">
        <f>I39*0.2</f>
        <v>6075.4000000000005</v>
      </c>
      <c r="D39" s="78">
        <f>I39*0.2</f>
        <v>6075.4000000000005</v>
      </c>
      <c r="E39" s="78">
        <f>I39*0.25</f>
        <v>7594.25</v>
      </c>
      <c r="F39" s="78">
        <f>+I39*0.15</f>
        <v>4556.55</v>
      </c>
      <c r="G39" s="78">
        <f>+MAX(I39-C39-D39-E39-F39-H39,0)</f>
        <v>6075.3999999999969</v>
      </c>
      <c r="H39" s="78">
        <f>+IFERROR(VLOOKUP(K40&amp;" - kapitálové transfery",B$53:C$90,2,0),0)</f>
        <v>0</v>
      </c>
      <c r="I39" s="73">
        <f>SUMIF(FP!K:K,K40,FP!D:D)</f>
        <v>30377</v>
      </c>
      <c r="L39" s="84">
        <f>COUNTIF(FP!N:N,Doklady!B1&amp;"aK")</f>
        <v>0</v>
      </c>
      <c r="T39" s="86"/>
    </row>
    <row r="40" spans="1:21" x14ac:dyDescent="0.2">
      <c r="A40" s="115" t="s">
        <v>339</v>
      </c>
      <c r="B40" s="116" t="s">
        <v>373</v>
      </c>
      <c r="C40" s="78">
        <f>DSUM(Doklady!A103:J9961,"GGG",Spolu!L40:M42)</f>
        <v>11610</v>
      </c>
      <c r="D40" s="78">
        <f>DSUM(Doklady!A103:J9961,"GGG",Spolu!N40:O42)</f>
        <v>6153.7300000000005</v>
      </c>
      <c r="E40" s="78">
        <f>DSUM(Doklady!A103:J9961,"GGG",Spolu!P40:Q42)</f>
        <v>12313</v>
      </c>
      <c r="F40" s="78">
        <f>DSUM(Doklady!A103:J9961,"GGG",Spolu!R40:S42)</f>
        <v>299.28999999999996</v>
      </c>
      <c r="G40" s="78">
        <f>DSUM(Doklady!A103:J9961,"GGG",Spolu!T40:U42)-H40</f>
        <v>0</v>
      </c>
      <c r="H40" s="78">
        <f>+IFERROR(VLOOKUP(K40&amp;" - kapitálové transfery",B$53:D$90,3,0),0)</f>
        <v>0</v>
      </c>
      <c r="I40" s="73">
        <f>+C40+D40+E40+F40+G40+H40</f>
        <v>30376.02</v>
      </c>
      <c r="J40" s="218" t="str">
        <f>+K45</f>
        <v>.</v>
      </c>
      <c r="K40" s="218" t="str">
        <f>IF(L38&gt;0,INDEX(FP!K:K,Doklady!B2),".")</f>
        <v>wushu</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0.97999999999956344</v>
      </c>
      <c r="J41" s="219">
        <f>+K46</f>
        <v>0</v>
      </c>
      <c r="K41" s="219">
        <f>+I41-H41</f>
        <v>0.97999999999956344</v>
      </c>
      <c r="L41" s="161" t="str">
        <f>IF(L38&gt;0,"a - "&amp;INDEX(FP!C:C,Doklady!B2),2)</f>
        <v>a - wushu - bežné transfery</v>
      </c>
      <c r="M41" s="120">
        <v>1</v>
      </c>
      <c r="N41" s="161" t="str">
        <f>+L41</f>
        <v>a - wushu - bežné transfery</v>
      </c>
      <c r="O41" s="120">
        <v>2</v>
      </c>
      <c r="P41" s="161" t="str">
        <f>+L41</f>
        <v>a - wushu - bežné transfery</v>
      </c>
      <c r="Q41" s="120">
        <v>3</v>
      </c>
      <c r="R41" s="161" t="str">
        <f>+L41</f>
        <v>a - wushu - bežné transfery</v>
      </c>
      <c r="S41" s="120">
        <v>4</v>
      </c>
      <c r="T41" s="161" t="str">
        <f>+L41</f>
        <v>a - wushu - bežné transfery</v>
      </c>
      <c r="U41" s="120">
        <v>5</v>
      </c>
    </row>
    <row r="42" spans="1:21" ht="10.5" customHeight="1" x14ac:dyDescent="0.2">
      <c r="A42" s="115" t="s">
        <v>339</v>
      </c>
      <c r="B42" s="116" t="s">
        <v>376</v>
      </c>
      <c r="C42" s="73">
        <f>+C40</f>
        <v>11610</v>
      </c>
      <c r="D42" s="216">
        <f>+D40</f>
        <v>6153.7300000000005</v>
      </c>
      <c r="E42" s="216">
        <f>+E40</f>
        <v>12313</v>
      </c>
      <c r="F42" s="216">
        <f>+MIN(F39:F40)</f>
        <v>299.28999999999996</v>
      </c>
      <c r="G42" s="216">
        <f>+MIN(G39+MAX(F39-F40,0)-MAX(E40-E39,0)-MAX(D40-D39,0)-MAX(C40-C39,0),G40)</f>
        <v>0</v>
      </c>
      <c r="H42" s="216">
        <f>+MIN(H39:H40)</f>
        <v>0</v>
      </c>
      <c r="I42" s="73">
        <f>+C42+D42+E42+MIN(F39:F40)+G42+H42</f>
        <v>30376.02</v>
      </c>
      <c r="J42" s="219">
        <f>+K47</f>
        <v>0</v>
      </c>
      <c r="K42" s="219">
        <f>+I42-H42</f>
        <v>30376.02</v>
      </c>
      <c r="L42" s="161" t="str">
        <f>+SUBSTITUTE(L41,"bežné","kapitálové")</f>
        <v>a - wushu - kapitálové transfery</v>
      </c>
      <c r="M42" s="120">
        <v>1</v>
      </c>
      <c r="N42" s="161" t="str">
        <f>+L42</f>
        <v>a - wushu - kapitálové transfery</v>
      </c>
      <c r="O42" s="120">
        <v>2</v>
      </c>
      <c r="P42" s="161" t="str">
        <f>+L42</f>
        <v>a - wushu - kapitálové transfery</v>
      </c>
      <c r="Q42" s="120">
        <v>3</v>
      </c>
      <c r="R42" s="161" t="str">
        <f>+L42</f>
        <v>a - wushu - kapitálové transfery</v>
      </c>
      <c r="S42" s="120">
        <v>4</v>
      </c>
      <c r="T42" s="161" t="str">
        <f>+L42</f>
        <v>a - wushu - kapitálové transfery</v>
      </c>
      <c r="U42" s="120">
        <v>5</v>
      </c>
    </row>
    <row r="43" spans="1:21" ht="20.399999999999999"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DSUM(Doklady!A103:J9961,"GGG",Spolu!L45:M47)</f>
        <v>0</v>
      </c>
      <c r="D45" s="78">
        <f>DSUM(Doklady!A103:J9961,"GGG",Spolu!N45:O47)</f>
        <v>0</v>
      </c>
      <c r="E45" s="78">
        <f>DSUM(Doklady!A103:J9961,"GGG",Spolu!P45:Q47)</f>
        <v>0</v>
      </c>
      <c r="F45" s="78">
        <f>DSUM(Doklady!A103:J9961,"GGG",Spolu!R45:S47)</f>
        <v>0</v>
      </c>
      <c r="G45" s="78">
        <f>DSUM(Doklady!A103:J9961,"GGG",Spolu!T45:U47)-H45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1"/>
      <c r="B50" s="332"/>
      <c r="C50" s="332"/>
      <c r="D50" s="332"/>
      <c r="E50" s="332"/>
      <c r="F50" s="332"/>
      <c r="G50" s="332"/>
      <c r="H50" s="332"/>
      <c r="I50" s="332"/>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wushu - bežné transfery</v>
      </c>
      <c r="C53" s="73">
        <f>IF(A53&lt;&gt;"",INDEX(FP!D:D,Doklady!B$2+(ROW()-53)),"")</f>
        <v>30377</v>
      </c>
      <c r="D53" s="73">
        <f>IF(A53&lt;&gt;"",Doklady!I1-Doklady!J1,"")</f>
        <v>30376.020000000004</v>
      </c>
      <c r="E53" s="73">
        <f>IF(A53&lt;&gt;"",MIN(D53,C53)*Doklady!C1/(1-Doklady!C1),"")</f>
        <v>0</v>
      </c>
      <c r="F53" s="71">
        <f>IF(A53&lt;&gt;"",Doklady!J1,"")</f>
        <v>0</v>
      </c>
      <c r="G53" s="73">
        <f>+IFERROR(HLOOKUP(IF(RIGHT(B53,15)="bežné transfery",LEFT(B53,LEN(B53)-18),0),$J$40:$K$42,3,0),MIN(C53,D53))</f>
        <v>30376.02</v>
      </c>
      <c r="H53" s="71"/>
      <c r="I53" s="73">
        <f>IF(A53&lt;&gt;"",MAX(IF(G53&lt;C53,C53-G53,0)+IF(F53&lt;E53,E53-F53,0),0),0)</f>
        <v>0.97999999999956344</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30377</v>
      </c>
      <c r="D130" s="228">
        <f t="shared" ref="D130:I130" si="9">SUM(D53:D129)</f>
        <v>30376.020000000004</v>
      </c>
      <c r="E130" s="228">
        <f t="shared" si="9"/>
        <v>0</v>
      </c>
      <c r="F130" s="228">
        <f t="shared" si="9"/>
        <v>0</v>
      </c>
      <c r="G130" s="228">
        <f t="shared" si="9"/>
        <v>30376.02</v>
      </c>
      <c r="H130" s="228">
        <f t="shared" si="9"/>
        <v>0</v>
      </c>
      <c r="I130" s="228">
        <f t="shared" si="9"/>
        <v>0.97999999999956344</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81"/>
      <c r="C140" s="229"/>
      <c r="D140" s="344"/>
      <c r="E140" s="344"/>
      <c r="F140" s="344"/>
      <c r="G140" s="344"/>
      <c r="H140" s="344"/>
      <c r="I140" s="344"/>
      <c r="J140" s="85"/>
    </row>
    <row r="141" spans="1:26" ht="68.25" customHeight="1" x14ac:dyDescent="0.25">
      <c r="A141" s="9"/>
      <c r="B141" s="283" t="s">
        <v>393</v>
      </c>
      <c r="C141" s="214"/>
      <c r="D141" s="328" t="s">
        <v>394</v>
      </c>
      <c r="E141" s="328"/>
      <c r="F141" s="328"/>
      <c r="G141" s="328"/>
      <c r="H141" s="328"/>
      <c r="I141" s="328"/>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0" priority="43" stopIfTrue="1" operator="lessThanOrEqual">
      <formula>0</formula>
    </cfRule>
    <cfRule type="cellIs" dxfId="89" priority="44" stopIfTrue="1" operator="greaterThan">
      <formula>0</formula>
    </cfRule>
  </conditionalFormatting>
  <conditionalFormatting sqref="D53:D129">
    <cfRule type="expression" dxfId="88" priority="31" stopIfTrue="1">
      <formula>$C53=$D53</formula>
    </cfRule>
    <cfRule type="expression" dxfId="87" priority="33" stopIfTrue="1">
      <formula>$C53&lt;&gt;$D53</formula>
    </cfRule>
  </conditionalFormatting>
  <conditionalFormatting sqref="E9:F9">
    <cfRule type="expression" dxfId="86" priority="38" stopIfTrue="1">
      <formula>SUM($E$10:$F$14)&gt;0</formula>
    </cfRule>
  </conditionalFormatting>
  <conditionalFormatting sqref="G53:G129">
    <cfRule type="expression" dxfId="85" priority="13" stopIfTrue="1">
      <formula>$C53=$G53</formula>
    </cfRule>
    <cfRule type="expression" dxfId="84" priority="14" stopIfTrue="1">
      <formula>$C53&lt;&gt;$G53</formula>
    </cfRule>
  </conditionalFormatting>
  <conditionalFormatting sqref="I42">
    <cfRule type="cellIs" dxfId="83" priority="1" stopIfTrue="1" operator="greaterThan">
      <formula>0</formula>
    </cfRule>
  </conditionalFormatting>
  <conditionalFormatting sqref="I47">
    <cfRule type="cellIs" dxfId="82" priority="15" stopIfTrue="1" operator="greaterThan">
      <formula>0</formula>
    </cfRule>
  </conditionalFormatting>
  <conditionalFormatting sqref="I53:I129">
    <cfRule type="cellIs" dxfId="81" priority="40" stopIfTrue="1" operator="equal">
      <formula>0</formula>
    </cfRule>
    <cfRule type="cellIs" dxfId="8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61"/>
  <sheetViews>
    <sheetView tabSelected="1" topLeftCell="A160" zoomScaleNormal="100" workbookViewId="0">
      <selection activeCell="F176" sqref="F176"/>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wushu - bežné transfery</v>
      </c>
      <c r="B1" s="232" t="str">
        <f>INDEX(Adr!A:A,B102+1)</f>
        <v>42019541</v>
      </c>
      <c r="C1" s="233">
        <f>IF(ROW()&lt;=B$3,INDEX(FP!E:E,B$2+ROW()-1),"")</f>
        <v>0</v>
      </c>
      <c r="D1" s="234" t="str">
        <f>IF(ROW()&lt;=B$3,INDEX(FP!F:F,B$2+ROW()-1),"")</f>
        <v>a</v>
      </c>
      <c r="E1" s="234"/>
      <c r="F1" s="234" t="str">
        <f>IF(ROW()&lt;=B$3,INDEX(FP!G:G,B$2+ROW()-1),"")</f>
        <v>026 02</v>
      </c>
      <c r="G1" s="234"/>
      <c r="H1" s="235" t="str">
        <f>IF(ROW()&lt;=B$3,INDEX(FP!C:C,B$2+ROW()-1),"")</f>
        <v>wushu - bežné transfery</v>
      </c>
      <c r="I1" s="236">
        <f>IF(ROW()&lt;=B$3,SUMIF(A$107:A$10003,A1,I$107:I$10003),"")</f>
        <v>30376.020000000004</v>
      </c>
      <c r="J1" s="236">
        <f>IF(ROW()&lt;=B$3,SUMIFS(I$103:I$50003,A$103:A$50003,K1,J$103:J$50003,L1),"")</f>
        <v>0</v>
      </c>
      <c r="K1" s="110" t="str">
        <f>$A1</f>
        <v>a - wushu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46</v>
      </c>
      <c r="C2" s="233" t="str">
        <f>IF(ROW()&lt;=B$3,INDEX(FP!E:E,B$2+ROW()-1),"")</f>
        <v/>
      </c>
      <c r="D2" s="234" t="str">
        <f>IF(ROW()&lt;=B$3,INDEX(FP!F:F,B$2+ROW()-1),"")</f>
        <v/>
      </c>
      <c r="E2" s="234"/>
      <c r="F2" s="234" t="str">
        <f>IF(ROW()&lt;=B$3,INDEX(FP!G:G,B$2+ROW()-1),"")</f>
        <v/>
      </c>
      <c r="G2" s="234"/>
      <c r="H2" s="235" t="str">
        <f>IF(ROW()&lt;=B$3,INDEX(FP!C:C,B$2+ROW()-1),"")</f>
        <v/>
      </c>
      <c r="I2" s="236" t="str">
        <f>IF(ROW()&lt;=B$3,SUMIF(A$107:A$10003,A2,I$107:I$10003),"")</f>
        <v/>
      </c>
      <c r="J2" s="236" t="str">
        <f>IF(ROW()&lt;=B$3,SUMIFS(I$103:I$50003,A$103:A$50003,K2,J$103:J$50003,L2),"")</f>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IF(ROW()&lt;=B$3,SUMIF(A$107:A$10003,A3,I$107:I$10003),"")</f>
        <v/>
      </c>
      <c r="J3" s="236" t="str">
        <f>IF(ROW()&lt;=B$3,SUMIFS(I$103:I$50003,A$103:A$50003,K3,J$103:J$50003,L3),"")</f>
        <v/>
      </c>
      <c r="K3" s="110" t="str">
        <f t="shared" ref="K3:K66" si="0">$A3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IF(ROW()&lt;=B$3,SUMIF(A$107:A$10003,A4,I$107:I$10003),"")</f>
        <v/>
      </c>
      <c r="J4" s="236" t="str">
        <f>IF(ROW()&lt;=B$3,SUMIFS(I$103:I$50003,A$103:A$50003,K4,J$103:J$50003,L4),"")</f>
        <v/>
      </c>
      <c r="K4" s="110" t="str">
        <f t="shared" si="0"/>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IF(ROW()&lt;=B$3,SUMIF(A$107:A$10003,A5,I$107:I$10003),"")</f>
        <v/>
      </c>
      <c r="J5" s="236" t="str">
        <f>IF(ROW()&lt;=B$3,SUMIFS(I$103:I$50003,A$103:A$50003,K5,J$103:J$50003,L5),"")</f>
        <v/>
      </c>
      <c r="K5" s="110" t="str">
        <f t="shared" si="0"/>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IF(ROW()&lt;=B$3,SUMIF(A$107:A$10003,A6,I$107:I$10003),"")</f>
        <v/>
      </c>
      <c r="J6" s="236" t="str">
        <f>IF(ROW()&lt;=B$3,SUMIFS(I$103:I$50003,A$103:A$50003,K6,J$103:J$50003,L6),"")</f>
        <v/>
      </c>
      <c r="K6" s="110" t="str">
        <f t="shared" si="0"/>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IF(ROW()&lt;=B$3,SUMIF(A$107:A$10003,A7,I$107:I$10003),"")</f>
        <v/>
      </c>
      <c r="J7" s="236" t="str">
        <f>IF(ROW()&lt;=B$3,SUMIFS(I$103:I$50003,A$103:A$50003,K7,J$103:J$50003,L7),"")</f>
        <v/>
      </c>
      <c r="K7" s="110" t="str">
        <f t="shared" si="0"/>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IF(ROW()&lt;=B$3,SUMIF(A$107:A$10003,A8,I$107:I$10003),"")</f>
        <v/>
      </c>
      <c r="J8" s="236" t="str">
        <f>IF(ROW()&lt;=B$3,SUMIFS(I$103:I$50003,A$103:A$50003,K8,J$103:J$50003,L8),"")</f>
        <v/>
      </c>
      <c r="K8" s="110" t="str">
        <f t="shared" si="0"/>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IF(ROW()&lt;=B$3,SUMIF(A$107:A$10003,A9,I$107:I$10003),"")</f>
        <v/>
      </c>
      <c r="J9" s="236" t="str">
        <f>IF(ROW()&lt;=B$3,SUMIFS(I$103:I$50003,A$103:A$50003,K9,J$103:J$50003,L9),"")</f>
        <v/>
      </c>
      <c r="K9" s="110" t="str">
        <f t="shared" si="0"/>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IF(ROW()&lt;=B$3,SUMIF(A$107:A$10003,A10,I$107:I$10003),"")</f>
        <v/>
      </c>
      <c r="J10" s="236" t="str">
        <f>IF(ROW()&lt;=B$3,SUMIFS(I$103:I$50003,A$103:A$50003,K10,J$103:J$50003,L10),"")</f>
        <v/>
      </c>
      <c r="K10" s="110" t="str">
        <f t="shared" si="0"/>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IF(ROW()&lt;=B$3,SUMIF(A$107:A$10003,A11,I$107:I$10003),"")</f>
        <v/>
      </c>
      <c r="J11" s="236" t="str">
        <f>IF(ROW()&lt;=B$3,SUMIFS(I$103:I$50003,A$103:A$50003,K11,J$103:J$50003,L11),"")</f>
        <v/>
      </c>
      <c r="K11" s="110" t="str">
        <f t="shared" si="0"/>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IF(ROW()&lt;=B$3,SUMIF(A$107:A$10003,A12,I$107:I$10003),"")</f>
        <v/>
      </c>
      <c r="J12" s="236" t="str">
        <f>IF(ROW()&lt;=B$3,SUMIFS(I$103:I$50003,A$103:A$50003,K12,J$103:J$50003,L12),"")</f>
        <v/>
      </c>
      <c r="K12" s="110" t="str">
        <f t="shared" si="0"/>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IF(ROW()&lt;=B$3,SUMIF(A$107:A$10003,A13,I$107:I$10003),"")</f>
        <v/>
      </c>
      <c r="J13" s="236" t="str">
        <f>IF(ROW()&lt;=B$3,SUMIFS(I$103:I$50003,A$103:A$50003,K13,J$103:J$50003,L13),"")</f>
        <v/>
      </c>
      <c r="K13" s="110" t="str">
        <f t="shared" si="0"/>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IF(ROW()&lt;=B$3,SUMIF(A$107:A$10003,A14,I$107:I$10003),"")</f>
        <v/>
      </c>
      <c r="J14" s="236" t="str">
        <f>IF(ROW()&lt;=B$3,SUMIFS(I$103:I$50003,A$103:A$50003,K14,J$103:J$50003,L14),"")</f>
        <v/>
      </c>
      <c r="K14" s="110" t="str">
        <f t="shared" si="0"/>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IF(ROW()&lt;=B$3,SUMIF(A$107:A$10003,A15,I$107:I$10003),"")</f>
        <v/>
      </c>
      <c r="J15" s="236" t="str">
        <f>IF(ROW()&lt;=B$3,SUMIFS(I$103:I$50003,A$103:A$50003,K15,J$103:J$50003,L15),"")</f>
        <v/>
      </c>
      <c r="K15" s="110" t="str">
        <f t="shared" si="0"/>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IF(ROW()&lt;=B$3,SUMIF(A$107:A$10003,A16,I$107:I$10003),"")</f>
        <v/>
      </c>
      <c r="J16" s="236" t="str">
        <f>IF(ROW()&lt;=B$3,SUMIFS(I$103:I$50003,A$103:A$50003,K16,J$103:J$50003,L16),"")</f>
        <v/>
      </c>
      <c r="K16" s="110" t="str">
        <f t="shared" si="0"/>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IF(ROW()&lt;=B$3,SUMIF(A$107:A$10003,A17,I$107:I$10003),"")</f>
        <v/>
      </c>
      <c r="J17" s="236" t="str">
        <f>IF(ROW()&lt;=B$3,SUMIFS(I$103:I$50003,A$103:A$50003,K17,J$103:J$50003,L17),"")</f>
        <v/>
      </c>
      <c r="K17" s="110" t="str">
        <f t="shared" si="0"/>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IF(ROW()&lt;=B$3,SUMIF(A$107:A$10003,A18,I$107:I$10003),"")</f>
        <v/>
      </c>
      <c r="J18" s="236" t="str">
        <f>IF(ROW()&lt;=B$3,SUMIFS(I$103:I$50003,A$103:A$50003,K18,J$103:J$50003,L18),"")</f>
        <v/>
      </c>
      <c r="K18" s="110" t="str">
        <f t="shared" si="0"/>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IF(ROW()&lt;=B$3,SUMIF(A$107:A$10003,A19,I$107:I$10003),"")</f>
        <v/>
      </c>
      <c r="J19" s="236" t="str">
        <f>IF(ROW()&lt;=B$3,SUMIFS(I$103:I$50003,A$103:A$50003,K19,J$103:J$50003,L19),"")</f>
        <v/>
      </c>
      <c r="K19" s="110" t="str">
        <f t="shared" si="0"/>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IF(ROW()&lt;=B$3,SUMIF(A$107:A$10003,A20,I$107:I$10003),"")</f>
        <v/>
      </c>
      <c r="J20" s="236" t="str">
        <f>IF(ROW()&lt;=B$3,SUMIFS(I$103:I$50003,A$103:A$50003,K20,J$103:J$50003,L20),"")</f>
        <v/>
      </c>
      <c r="K20" s="110" t="str">
        <f t="shared" si="0"/>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IF(ROW()&lt;=B$3,SUMIF(A$107:A$10003,A21,I$107:I$10003),"")</f>
        <v/>
      </c>
      <c r="J21" s="236" t="str">
        <f>IF(ROW()&lt;=B$3,SUMIFS(I$103:I$50003,A$103:A$50003,K21,J$103:J$50003,L21),"")</f>
        <v/>
      </c>
      <c r="K21" s="110" t="str">
        <f t="shared" si="0"/>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IF(ROW()&lt;=B$3,SUMIF(A$107:A$10003,A22,I$107:I$10003),"")</f>
        <v/>
      </c>
      <c r="J22" s="236" t="str">
        <f>IF(ROW()&lt;=B$3,SUMIFS(I$103:I$50003,A$103:A$50003,K22,J$103:J$50003,L22),"")</f>
        <v/>
      </c>
      <c r="K22" s="110" t="str">
        <f t="shared" si="0"/>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IF(ROW()&lt;=B$3,SUMIF(A$107:A$10003,A23,I$107:I$10003),"")</f>
        <v/>
      </c>
      <c r="J23" s="236" t="str">
        <f>IF(ROW()&lt;=B$3,SUMIFS(I$103:I$50003,A$103:A$50003,K23,J$103:J$50003,L23),"")</f>
        <v/>
      </c>
      <c r="K23" s="110" t="str">
        <f t="shared" si="0"/>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IF(ROW()&lt;=B$3,SUMIF(A$107:A$10003,A24,I$107:I$10003),"")</f>
        <v/>
      </c>
      <c r="J24" s="236" t="str">
        <f>IF(ROW()&lt;=B$3,SUMIFS(I$103:I$50003,A$103:A$50003,K24,J$103:J$50003,L24),"")</f>
        <v/>
      </c>
      <c r="K24" s="110" t="str">
        <f t="shared" si="0"/>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IF(ROW()&lt;=B$3,SUMIF(A$107:A$10003,A25,I$107:I$10003),"")</f>
        <v/>
      </c>
      <c r="J25" s="236" t="str">
        <f>IF(ROW()&lt;=B$3,SUMIFS(I$103:I$50003,A$103:A$50003,K25,J$103:J$50003,L25),"")</f>
        <v/>
      </c>
      <c r="K25" s="110" t="str">
        <f t="shared" si="0"/>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IF(ROW()&lt;=B$3,SUMIF(A$107:A$10003,A26,I$107:I$10003),"")</f>
        <v/>
      </c>
      <c r="J26" s="236" t="str">
        <f>IF(ROW()&lt;=B$3,SUMIFS(I$103:I$50003,A$103:A$50003,K26,J$103:J$50003,L26),"")</f>
        <v/>
      </c>
      <c r="K26" s="110" t="str">
        <f t="shared" si="0"/>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IF(ROW()&lt;=B$3,SUMIF(A$107:A$10003,A27,I$107:I$10003),"")</f>
        <v/>
      </c>
      <c r="J27" s="236" t="str">
        <f>IF(ROW()&lt;=B$3,SUMIFS(I$103:I$50003,A$103:A$50003,K27,J$103:J$50003,L27),"")</f>
        <v/>
      </c>
      <c r="K27" s="110" t="str">
        <f t="shared" si="0"/>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IF(ROW()&lt;=B$3,SUMIF(A$107:A$10003,A28,I$107:I$10003),"")</f>
        <v/>
      </c>
      <c r="J28" s="236" t="str">
        <f>IF(ROW()&lt;=B$3,SUMIFS(I$103:I$50003,A$103:A$50003,K28,J$103:J$50003,L28),"")</f>
        <v/>
      </c>
      <c r="K28" s="110" t="str">
        <f t="shared" si="0"/>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IF(ROW()&lt;=B$3,SUMIF(A$107:A$10003,A29,I$107:I$10003),"")</f>
        <v/>
      </c>
      <c r="J29" s="236" t="str">
        <f>IF(ROW()&lt;=B$3,SUMIFS(I$103:I$50003,A$103:A$50003,K29,J$103:J$50003,L29),"")</f>
        <v/>
      </c>
      <c r="K29" s="110" t="str">
        <f t="shared" si="0"/>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IF(ROW()&lt;=B$3,SUMIF(A$107:A$10003,A30,I$107:I$10003),"")</f>
        <v/>
      </c>
      <c r="J30" s="236" t="str">
        <f>IF(ROW()&lt;=B$3,SUMIFS(I$103:I$50003,A$103:A$50003,K30,J$103:J$50003,L30),"")</f>
        <v/>
      </c>
      <c r="K30" s="110" t="str">
        <f t="shared" si="0"/>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IF(ROW()&lt;=B$3,SUMIF(A$107:A$10003,A31,I$107:I$10003),"")</f>
        <v/>
      </c>
      <c r="J31" s="236" t="str">
        <f>IF(ROW()&lt;=B$3,SUMIFS(I$103:I$50003,A$103:A$50003,K31,J$103:J$50003,L31),"")</f>
        <v/>
      </c>
      <c r="K31" s="110" t="str">
        <f t="shared" si="0"/>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IF(ROW()&lt;=B$3,SUMIF(A$107:A$10003,A32,I$107:I$10003),"")</f>
        <v/>
      </c>
      <c r="J32" s="236" t="str">
        <f>IF(ROW()&lt;=B$3,SUMIFS(I$103:I$50003,A$103:A$50003,K32,J$103:J$50003,L32),"")</f>
        <v/>
      </c>
      <c r="K32" s="110" t="str">
        <f t="shared" si="0"/>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IF(ROW()&lt;=B$3,SUMIF(A$107:A$10003,A33,I$107:I$10003),"")</f>
        <v/>
      </c>
      <c r="J33" s="236" t="str">
        <f>IF(ROW()&lt;=B$3,SUMIFS(I$103:I$50003,A$103:A$50003,K33,J$103:J$50003,L33),"")</f>
        <v/>
      </c>
      <c r="K33" s="110" t="str">
        <f t="shared" si="0"/>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IF(ROW()&lt;=B$3,SUMIF(A$107:A$10003,A34,I$107:I$10003),"")</f>
        <v/>
      </c>
      <c r="J34" s="236" t="str">
        <f>IF(ROW()&lt;=B$3,SUMIFS(I$103:I$50003,A$103:A$50003,K34,J$103:J$50003,L34),"")</f>
        <v/>
      </c>
      <c r="K34" s="110" t="str">
        <f t="shared" si="0"/>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IF(ROW()&lt;=B$3,SUMIF(A$107:A$10003,A35,I$107:I$10003),"")</f>
        <v/>
      </c>
      <c r="J35" s="236" t="str">
        <f>IF(ROW()&lt;=B$3,SUMIFS(I$103:I$50003,A$103:A$50003,K35,J$103:J$50003,L35),"")</f>
        <v/>
      </c>
      <c r="K35" s="110" t="str">
        <f t="shared" si="0"/>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IF(ROW()&lt;=B$3,SUMIF(A$107:A$10003,A36,I$107:I$10003),"")</f>
        <v/>
      </c>
      <c r="J36" s="236" t="str">
        <f>IF(ROW()&lt;=B$3,SUMIFS(I$103:I$50003,A$103:A$50003,K36,J$103:J$50003,L36),"")</f>
        <v/>
      </c>
      <c r="K36" s="110" t="str">
        <f t="shared" si="0"/>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IF(ROW()&lt;=B$3,SUMIF(A$107:A$10003,A37,I$107:I$10003),"")</f>
        <v/>
      </c>
      <c r="J37" s="236" t="str">
        <f>IF(ROW()&lt;=B$3,SUMIFS(I$103:I$50003,A$103:A$50003,K37,J$103:J$50003,L37),"")</f>
        <v/>
      </c>
      <c r="K37" s="110" t="str">
        <f t="shared" si="0"/>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IF(ROW()&lt;=B$3,SUMIF(A$107:A$10003,A38,I$107:I$10003),"")</f>
        <v/>
      </c>
      <c r="J38" s="236" t="str">
        <f>IF(ROW()&lt;=B$3,SUMIFS(I$103:I$50003,A$103:A$50003,K38,J$103:J$50003,L38),"")</f>
        <v/>
      </c>
      <c r="K38" s="110" t="str">
        <f t="shared" si="0"/>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IF(ROW()&lt;=B$3,SUMIF(A$107:A$10003,A39,I$107:I$10003),"")</f>
        <v/>
      </c>
      <c r="J39" s="236" t="str">
        <f>IF(ROW()&lt;=B$3,SUMIFS(I$103:I$50003,A$103:A$50003,K39,J$103:J$50003,L39),"")</f>
        <v/>
      </c>
      <c r="K39" s="110" t="str">
        <f t="shared" si="0"/>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IF(ROW()&lt;=B$3,SUMIF(A$107:A$10003,A40,I$107:I$10003),"")</f>
        <v/>
      </c>
      <c r="J40" s="236" t="str">
        <f>IF(ROW()&lt;=B$3,SUMIFS(I$103:I$50003,A$103:A$50003,K40,J$103:J$50003,L40),"")</f>
        <v/>
      </c>
      <c r="K40" s="110" t="str">
        <f t="shared" si="0"/>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IF(ROW()&lt;=B$3,SUMIF(A$107:A$10003,A41,I$107:I$10003),"")</f>
        <v/>
      </c>
      <c r="J41" s="236" t="str">
        <f>IF(ROW()&lt;=B$3,SUMIFS(I$103:I$50003,A$103:A$50003,K41,J$103:J$50003,L41),"")</f>
        <v/>
      </c>
      <c r="K41" s="110" t="str">
        <f t="shared" si="0"/>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IF(ROW()&lt;=B$3,SUMIF(A$107:A$10003,A42,I$107:I$10003),"")</f>
        <v/>
      </c>
      <c r="J42" s="236" t="str">
        <f>IF(ROW()&lt;=B$3,SUMIFS(I$103:I$50003,A$103:A$50003,K42,J$103:J$50003,L42),"")</f>
        <v/>
      </c>
      <c r="K42" s="110" t="str">
        <f t="shared" si="0"/>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IF(ROW()&lt;=B$3,SUMIF(A$107:A$10003,A43,I$107:I$10003),"")</f>
        <v/>
      </c>
      <c r="J43" s="236" t="str">
        <f>IF(ROW()&lt;=B$3,SUMIFS(I$103:I$50003,A$103:A$50003,K43,J$103:J$50003,L43),"")</f>
        <v/>
      </c>
      <c r="K43" s="110" t="str">
        <f t="shared" si="0"/>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IF(ROW()&lt;=B$3,SUMIF(A$107:A$10003,A44,I$107:I$10003),"")</f>
        <v/>
      </c>
      <c r="J44" s="236" t="str">
        <f>IF(ROW()&lt;=B$3,SUMIFS(I$103:I$50003,A$103:A$50003,K44,J$103:J$50003,L44),"")</f>
        <v/>
      </c>
      <c r="K44" s="110" t="str">
        <f t="shared" si="0"/>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IF(ROW()&lt;=B$3,SUMIF(A$107:A$10003,A45,I$107:I$10003),"")</f>
        <v/>
      </c>
      <c r="J45" s="236" t="str">
        <f>IF(ROW()&lt;=B$3,SUMIFS(I$103:I$50003,A$103:A$50003,K45,J$103:J$50003,L45),"")</f>
        <v/>
      </c>
      <c r="K45" s="110" t="str">
        <f t="shared" si="0"/>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IF(ROW()&lt;=B$3,SUMIF(A$107:A$10003,A46,I$107:I$10003),"")</f>
        <v/>
      </c>
      <c r="J46" s="236" t="str">
        <f>IF(ROW()&lt;=B$3,SUMIFS(I$103:I$50003,A$103:A$50003,K46,J$103:J$50003,L46),"")</f>
        <v/>
      </c>
      <c r="K46" s="110" t="str">
        <f t="shared" si="0"/>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IF(ROW()&lt;=B$3,SUMIF(A$107:A$10003,A47,I$107:I$10003),"")</f>
        <v/>
      </c>
      <c r="J47" s="236" t="str">
        <f>IF(ROW()&lt;=B$3,SUMIFS(I$103:I$50003,A$103:A$50003,K47,J$103:J$50003,L47),"")</f>
        <v/>
      </c>
      <c r="K47" s="110" t="str">
        <f t="shared" si="0"/>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IF(ROW()&lt;=B$3,SUMIF(A$107:A$10003,A48,I$107:I$10003),"")</f>
        <v/>
      </c>
      <c r="J48" s="236" t="str">
        <f>IF(ROW()&lt;=B$3,SUMIFS(I$103:I$50003,A$103:A$50003,K48,J$103:J$50003,L48),"")</f>
        <v/>
      </c>
      <c r="K48" s="110" t="str">
        <f t="shared" si="0"/>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IF(ROW()&lt;=B$3,SUMIF(A$107:A$10003,A49,I$107:I$10003),"")</f>
        <v/>
      </c>
      <c r="J49" s="236" t="str">
        <f>IF(ROW()&lt;=B$3,SUMIFS(I$103:I$50003,A$103:A$50003,K49,J$103:J$50003,L49),"")</f>
        <v/>
      </c>
      <c r="K49" s="110" t="str">
        <f t="shared" si="0"/>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IF(ROW()&lt;=B$3,SUMIF(A$107:A$10003,A50,I$107:I$10003),"")</f>
        <v/>
      </c>
      <c r="J50" s="236" t="str">
        <f>IF(ROW()&lt;=B$3,SUMIFS(I$103:I$50003,A$103:A$50003,K50,J$103:J$50003,L50),"")</f>
        <v/>
      </c>
      <c r="K50" s="110" t="str">
        <f t="shared" si="0"/>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IF(ROW()&lt;=B$3,SUMIF(A$107:A$10003,A51,I$107:I$10003),"")</f>
        <v/>
      </c>
      <c r="J51" s="236" t="str">
        <f>IF(ROW()&lt;=B$3,SUMIFS(I$103:I$50003,A$103:A$50003,K51,J$103:J$50003,L51),"")</f>
        <v/>
      </c>
      <c r="K51" s="110" t="str">
        <f t="shared" si="0"/>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IF(ROW()&lt;=B$3,SUMIF(A$107:A$10003,A52,I$107:I$10003),"")</f>
        <v/>
      </c>
      <c r="J52" s="236" t="str">
        <f>IF(ROW()&lt;=B$3,SUMIFS(I$103:I$50003,A$103:A$50003,K52,J$103:J$50003,L52),"")</f>
        <v/>
      </c>
      <c r="K52" s="110" t="str">
        <f t="shared" si="0"/>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IF(ROW()&lt;=B$3,SUMIF(A$107:A$10003,A53,I$107:I$10003),"")</f>
        <v/>
      </c>
      <c r="J53" s="236" t="str">
        <f>IF(ROW()&lt;=B$3,SUMIFS(I$103:I$50003,A$103:A$50003,K53,J$103:J$50003,L53),"")</f>
        <v/>
      </c>
      <c r="K53" s="110" t="str">
        <f t="shared" si="0"/>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IF(ROW()&lt;=B$3,SUMIF(A$107:A$10003,A54,I$107:I$10003),"")</f>
        <v/>
      </c>
      <c r="J54" s="236" t="str">
        <f>IF(ROW()&lt;=B$3,SUMIFS(I$103:I$50003,A$103:A$50003,K54,J$103:J$50003,L54),"")</f>
        <v/>
      </c>
      <c r="K54" s="110" t="str">
        <f t="shared" si="0"/>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IF(ROW()&lt;=B$3,SUMIF(A$107:A$10003,A55,I$107:I$10003),"")</f>
        <v/>
      </c>
      <c r="J55" s="236" t="str">
        <f>IF(ROW()&lt;=B$3,SUMIFS(I$103:I$50003,A$103:A$50003,K55,J$103:J$50003,L55),"")</f>
        <v/>
      </c>
      <c r="K55" s="110" t="str">
        <f t="shared" si="0"/>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IF(ROW()&lt;=B$3,SUMIF(A$107:A$10003,A56,I$107:I$10003),"")</f>
        <v/>
      </c>
      <c r="J56" s="236" t="str">
        <f>IF(ROW()&lt;=B$3,SUMIFS(I$103:I$50003,A$103:A$50003,K56,J$103:J$50003,L56),"")</f>
        <v/>
      </c>
      <c r="K56" s="110" t="str">
        <f t="shared" si="0"/>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IF(ROW()&lt;=B$3,SUMIF(A$107:A$10003,A57,I$107:I$10003),"")</f>
        <v/>
      </c>
      <c r="J57" s="236" t="str">
        <f>IF(ROW()&lt;=B$3,SUMIFS(I$103:I$50003,A$103:A$50003,K57,J$103:J$50003,L57),"")</f>
        <v/>
      </c>
      <c r="K57" s="110" t="str">
        <f t="shared" si="0"/>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IF(ROW()&lt;=B$3,SUMIF(A$107:A$10003,A58,I$107:I$10003),"")</f>
        <v/>
      </c>
      <c r="J58" s="236" t="str">
        <f>IF(ROW()&lt;=B$3,SUMIFS(I$103:I$50003,A$103:A$50003,K58,J$103:J$50003,L58),"")</f>
        <v/>
      </c>
      <c r="K58" s="110" t="str">
        <f t="shared" si="0"/>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IF(ROW()&lt;=B$3,SUMIF(A$107:A$10003,A59,I$107:I$10003),"")</f>
        <v/>
      </c>
      <c r="J59" s="236" t="str">
        <f>IF(ROW()&lt;=B$3,SUMIFS(I$103:I$50003,A$103:A$50003,K59,J$103:J$50003,L59),"")</f>
        <v/>
      </c>
      <c r="K59" s="110" t="str">
        <f t="shared" si="0"/>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IF(ROW()&lt;=B$3,SUMIF(A$107:A$10003,A60,I$107:I$10003),"")</f>
        <v/>
      </c>
      <c r="J60" s="236" t="str">
        <f>IF(ROW()&lt;=B$3,SUMIFS(I$103:I$50003,A$103:A$50003,K60,J$103:J$50003,L60),"")</f>
        <v/>
      </c>
      <c r="K60" s="110" t="str">
        <f t="shared" si="0"/>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IF(ROW()&lt;=B$3,SUMIF(A$107:A$10003,A61,I$107:I$10003),"")</f>
        <v/>
      </c>
      <c r="J61" s="236" t="str">
        <f>IF(ROW()&lt;=B$3,SUMIFS(I$103:I$50003,A$103:A$50003,K61,J$103:J$50003,L61),"")</f>
        <v/>
      </c>
      <c r="K61" s="110" t="str">
        <f t="shared" si="0"/>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IF(ROW()&lt;=B$3,SUMIF(A$107:A$10003,A62,I$107:I$10003),"")</f>
        <v/>
      </c>
      <c r="J62" s="236" t="str">
        <f>IF(ROW()&lt;=B$3,SUMIFS(I$103:I$50003,A$103:A$50003,K62,J$103:J$50003,L62),"")</f>
        <v/>
      </c>
      <c r="K62" s="110" t="str">
        <f t="shared" si="0"/>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IF(ROW()&lt;=B$3,SUMIF(A$107:A$10003,A63,I$107:I$10003),"")</f>
        <v/>
      </c>
      <c r="J63" s="236" t="str">
        <f>IF(ROW()&lt;=B$3,SUMIFS(I$103:I$50003,A$103:A$50003,K63,J$103:J$50003,L63),"")</f>
        <v/>
      </c>
      <c r="K63" s="110" t="str">
        <f t="shared" si="0"/>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IF(ROW()&lt;=B$3,SUMIF(A$107:A$10003,A64,I$107:I$10003),"")</f>
        <v/>
      </c>
      <c r="J64" s="236" t="str">
        <f>IF(ROW()&lt;=B$3,SUMIFS(I$103:I$50003,A$103:A$50003,K64,J$103:J$50003,L64),"")</f>
        <v/>
      </c>
      <c r="K64" s="110" t="str">
        <f t="shared" si="0"/>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IF(ROW()&lt;=B$3,SUMIF(A$107:A$10003,A65,I$107:I$10003),"")</f>
        <v/>
      </c>
      <c r="J65" s="236" t="str">
        <f>IF(ROW()&lt;=B$3,SUMIFS(I$103:I$50003,A$103:A$50003,K65,J$103:J$50003,L65),"")</f>
        <v/>
      </c>
      <c r="K65" s="110" t="str">
        <f t="shared" si="0"/>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IF(ROW()&lt;=B$3,SUMIF(A$107:A$10003,A66,I$107:I$10003),"")</f>
        <v/>
      </c>
      <c r="J66" s="236" t="str">
        <f>IF(ROW()&lt;=B$3,SUMIFS(I$103:I$50003,A$103:A$50003,K66,J$103:J$50003,L66),"")</f>
        <v/>
      </c>
      <c r="K66" s="110" t="str">
        <f t="shared" si="0"/>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IF(ROW()&lt;=B$3,SUMIF(A$107:A$10003,A67,I$107:I$10003),"")</f>
        <v/>
      </c>
      <c r="J67" s="236" t="str">
        <f>IF(ROW()&lt;=B$3,SUMIFS(I$103:I$50003,A$103:A$50003,K67,J$103:J$50003,L67),"")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IF(ROW()&lt;=B$3,SUMIF(A$107:A$10003,A68,I$107:I$10003),"")</f>
        <v/>
      </c>
      <c r="J68" s="236" t="str">
        <f>IF(ROW()&lt;=B$3,SUMIFS(I$103:I$50003,A$103:A$50003,K68,J$103:J$50003,L68),"")</f>
        <v/>
      </c>
      <c r="K68" s="110" t="str">
        <f t="shared" si="1"/>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IF(ROW()&lt;=B$3,SUMIF(A$107:A$10003,A69,I$107:I$10003),"")</f>
        <v/>
      </c>
      <c r="J69" s="236" t="str">
        <f>IF(ROW()&lt;=B$3,SUMIFS(I$103:I$50003,A$103:A$50003,K69,J$103:J$50003,L69),"")</f>
        <v/>
      </c>
      <c r="K69" s="110" t="str">
        <f t="shared" si="1"/>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IF(ROW()&lt;=B$3,SUMIF(A$107:A$10003,A70,I$107:I$10003),"")</f>
        <v/>
      </c>
      <c r="J70" s="236" t="str">
        <f>IF(ROW()&lt;=B$3,SUMIFS(I$103:I$50003,A$103:A$50003,K70,J$103:J$50003,L70),"")</f>
        <v/>
      </c>
      <c r="K70" s="110" t="str">
        <f t="shared" si="1"/>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IF(ROW()&lt;=B$3,SUMIF(A$107:A$10003,A71,I$107:I$10003),"")</f>
        <v/>
      </c>
      <c r="J71" s="236" t="str">
        <f>IF(ROW()&lt;=B$3,SUMIFS(I$103:I$50003,A$103:A$50003,K71,J$103:J$50003,L71),"")</f>
        <v/>
      </c>
      <c r="K71" s="110" t="str">
        <f t="shared" si="1"/>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IF(ROW()&lt;=B$3,SUMIF(A$107:A$10003,A72,I$107:I$10003),"")</f>
        <v/>
      </c>
      <c r="J72" s="236" t="str">
        <f>IF(ROW()&lt;=B$3,SUMIFS(I$103:I$50003,A$103:A$50003,K72,J$103:J$50003,L72),"")</f>
        <v/>
      </c>
      <c r="K72" s="110" t="str">
        <f t="shared" si="1"/>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IF(ROW()&lt;=B$3,SUMIF(A$107:A$10003,A73,I$107:I$10003),"")</f>
        <v/>
      </c>
      <c r="J73" s="236" t="str">
        <f>IF(ROW()&lt;=B$3,SUMIFS(I$103:I$50003,A$103:A$50003,K73,J$103:J$50003,L73),"")</f>
        <v/>
      </c>
      <c r="K73" s="110" t="str">
        <f t="shared" si="1"/>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IF(ROW()&lt;=B$3,SUMIF(A$107:A$10003,A74,I$107:I$10003),"")</f>
        <v/>
      </c>
      <c r="J74" s="236" t="str">
        <f>IF(ROW()&lt;=B$3,SUMIFS(I$103:I$50003,A$103:A$50003,K74,J$103:J$50003,L74),"")</f>
        <v/>
      </c>
      <c r="K74" s="110" t="str">
        <f t="shared" si="1"/>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IF(ROW()&lt;=B$3,SUMIF(A$107:A$10003,A75,I$107:I$10003),"")</f>
        <v/>
      </c>
      <c r="J75" s="236" t="str">
        <f>IF(ROW()&lt;=B$3,SUMIFS(I$103:I$50003,A$103:A$50003,K75,J$103:J$50003,L75),"")</f>
        <v/>
      </c>
      <c r="K75" s="110" t="str">
        <f t="shared" si="1"/>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IF(ROW()&lt;=B$3,SUMIF(A$107:A$10003,A76,I$107:I$10003),"")</f>
        <v/>
      </c>
      <c r="J76" s="236" t="str">
        <f>IF(ROW()&lt;=B$3,SUMIFS(I$103:I$50003,A$103:A$50003,K76,J$103:J$50003,L76),"")</f>
        <v/>
      </c>
      <c r="K76" s="110" t="str">
        <f t="shared" si="1"/>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IF(ROW()&lt;=B$3,SUMIF(A$107:A$10003,A77,I$107:I$10003),"")</f>
        <v/>
      </c>
      <c r="J77" s="236" t="str">
        <f>IF(ROW()&lt;=B$3,SUMIFS(I$103:I$50003,A$103:A$50003,K77,J$103:J$50003,L77),"")</f>
        <v/>
      </c>
      <c r="K77" s="110" t="str">
        <f t="shared" si="1"/>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IF(ROW()&lt;=B$3,SUMIF(A$107:A$10003,A78,I$107:I$10003),"")</f>
        <v/>
      </c>
      <c r="J78" s="236" t="str">
        <f>IF(ROW()&lt;=B$3,SUMIFS(I$103:I$50003,A$103:A$50003,K78,J$103:J$50003,L78),"")</f>
        <v/>
      </c>
      <c r="K78" s="110" t="str">
        <f t="shared" si="1"/>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IF(ROW()&lt;=B$3,SUMIF(A$107:A$10003,A79,I$107:I$10003),"")</f>
        <v/>
      </c>
      <c r="J79" s="236" t="str">
        <f>IF(ROW()&lt;=B$3,SUMIFS(I$103:I$50003,A$103:A$50003,K79,J$103:J$50003,L79),"")</f>
        <v/>
      </c>
      <c r="K79" s="110" t="str">
        <f t="shared" si="1"/>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IF(ROW()&lt;=B$3,SUMIF(A$107:A$10003,A80,I$107:I$10003),"")</f>
        <v/>
      </c>
      <c r="J80" s="236" t="str">
        <f>IF(ROW()&lt;=B$3,SUMIFS(I$103:I$50003,A$103:A$50003,K80,J$103:J$50003,L80),"")</f>
        <v/>
      </c>
      <c r="K80" s="110" t="str">
        <f t="shared" si="1"/>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IF(ROW()&lt;=B$3,SUMIF(A$107:A$10003,A81,I$107:I$10003),"")</f>
        <v/>
      </c>
      <c r="J81" s="236" t="str">
        <f>IF(ROW()&lt;=B$3,SUMIFS(I$103:I$50003,A$103:A$50003,K81,J$103:J$50003,L81),"")</f>
        <v/>
      </c>
      <c r="K81" s="110" t="str">
        <f t="shared" si="1"/>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IF(ROW()&lt;=B$3,SUMIF(A$107:A$10003,A82,I$107:I$10003),"")</f>
        <v/>
      </c>
      <c r="J82" s="236" t="str">
        <f>IF(ROW()&lt;=B$3,SUMIFS(I$103:I$50003,A$103:A$50003,K82,J$103:J$50003,L82),"")</f>
        <v/>
      </c>
      <c r="K82" s="110" t="str">
        <f t="shared" si="1"/>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IF(ROW()&lt;=B$3,SUMIF(A$107:A$10003,A83,I$107:I$10003),"")</f>
        <v/>
      </c>
      <c r="J83" s="236" t="str">
        <f>IF(ROW()&lt;=B$3,SUMIFS(I$103:I$50003,A$103:A$50003,K83,J$103:J$50003,L83),"")</f>
        <v/>
      </c>
      <c r="K83" s="110" t="str">
        <f t="shared" si="1"/>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IF(ROW()&lt;=B$3,SUMIF(A$107:A$10003,A84,I$107:I$10003),"")</f>
        <v/>
      </c>
      <c r="J84" s="236" t="str">
        <f>IF(ROW()&lt;=B$3,SUMIFS(I$103:I$50003,A$103:A$50003,K84,J$103:J$50003,L84),"")</f>
        <v/>
      </c>
      <c r="K84" s="110" t="str">
        <f t="shared" si="1"/>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IF(ROW()&lt;=B$3,SUMIF(A$107:A$10003,A85,I$107:I$10003),"")</f>
        <v/>
      </c>
      <c r="J85" s="236" t="str">
        <f>IF(ROW()&lt;=B$3,SUMIFS(I$103:I$50003,A$103:A$50003,K85,J$103:J$50003,L85),"")</f>
        <v/>
      </c>
      <c r="K85" s="110" t="str">
        <f t="shared" si="1"/>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IF(ROW()&lt;=B$3,SUMIF(A$107:A$10003,A86,I$107:I$10003),"")</f>
        <v/>
      </c>
      <c r="J86" s="236" t="str">
        <f>IF(ROW()&lt;=B$3,SUMIFS(I$103:I$50003,A$103:A$50003,K86,J$103:J$50003,L86),"")</f>
        <v/>
      </c>
      <c r="K86" s="110" t="str">
        <f t="shared" si="1"/>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IF(ROW()&lt;=B$3,SUMIF(A$107:A$10003,A87,I$107:I$10003),"")</f>
        <v/>
      </c>
      <c r="J87" s="236" t="str">
        <f>IF(ROW()&lt;=B$3,SUMIFS(I$103:I$50003,A$103:A$50003,K87,J$103:J$50003,L87),"")</f>
        <v/>
      </c>
      <c r="K87" s="110" t="str">
        <f t="shared" si="1"/>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IF(ROW()&lt;=B$3,SUMIF(A$107:A$10003,A88,I$107:I$10003),"")</f>
        <v/>
      </c>
      <c r="J88" s="236" t="str">
        <f>IF(ROW()&lt;=B$3,SUMIFS(I$103:I$50003,A$103:A$50003,K88,J$103:J$50003,L88),"")</f>
        <v/>
      </c>
      <c r="K88" s="110" t="str">
        <f t="shared" si="1"/>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IF(ROW()&lt;=B$3,SUMIF(A$107:A$10003,A89,I$107:I$10003),"")</f>
        <v/>
      </c>
      <c r="J89" s="236" t="str">
        <f>IF(ROW()&lt;=B$3,SUMIFS(I$103:I$50003,A$103:A$50003,K89,J$103:J$50003,L89),"")</f>
        <v/>
      </c>
      <c r="K89" s="110" t="str">
        <f t="shared" si="1"/>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IF(ROW()&lt;=B$3,SUMIF(A$107:A$10003,A90,I$107:I$10003),"")</f>
        <v/>
      </c>
      <c r="J90" s="236" t="str">
        <f>IF(ROW()&lt;=B$3,SUMIFS(I$103:I$50003,A$103:A$50003,K90,J$103:J$50003,L90),"")</f>
        <v/>
      </c>
      <c r="K90" s="110" t="str">
        <f t="shared" si="1"/>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IF(ROW()&lt;=B$3,SUMIF(A$107:A$10003,A91,I$107:I$10003),"")</f>
        <v/>
      </c>
      <c r="J91" s="236" t="str">
        <f>IF(ROW()&lt;=B$3,SUMIFS(I$103:I$50003,A$103:A$50003,K91,J$103:J$50003,L91),"")</f>
        <v/>
      </c>
      <c r="K91" s="110" t="str">
        <f t="shared" si="1"/>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IF(ROW()&lt;=B$3,SUMIF(A$107:A$10003,A92,I$107:I$10003),"")</f>
        <v/>
      </c>
      <c r="J92" s="236" t="str">
        <f>IF(ROW()&lt;=B$3,SUMIFS(I$103:I$50003,A$103:A$50003,K92,J$103:J$50003,L92),"")</f>
        <v/>
      </c>
      <c r="K92" s="110" t="str">
        <f t="shared" si="1"/>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IF(ROW()&lt;=B$3,SUMIF(A$107:A$10003,A93,I$107:I$10003),"")</f>
        <v/>
      </c>
      <c r="J93" s="236" t="str">
        <f>IF(ROW()&lt;=B$3,SUMIFS(I$103:I$50003,A$103:A$50003,K93,J$103:J$50003,L93),"")</f>
        <v/>
      </c>
      <c r="K93" s="110" t="str">
        <f t="shared" si="1"/>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IF(ROW()&lt;=B$3,SUMIF(A$107:A$10003,A94,I$107:I$10003),"")</f>
        <v/>
      </c>
      <c r="J94" s="236" t="str">
        <f>IF(ROW()&lt;=B$3,SUMIFS(I$103:I$50003,A$103:A$50003,K94,J$103:J$50003,L94),"")</f>
        <v/>
      </c>
      <c r="K94" s="110" t="str">
        <f t="shared" si="1"/>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61" t="s">
        <v>329</v>
      </c>
      <c r="B100" s="361"/>
      <c r="C100" s="361"/>
      <c r="D100" s="361"/>
      <c r="E100" s="361"/>
      <c r="F100" s="361"/>
      <c r="G100" s="361"/>
      <c r="H100" s="361"/>
      <c r="I100" s="363" t="s">
        <v>2271</v>
      </c>
      <c r="J100" s="363"/>
      <c r="K100" s="89"/>
    </row>
    <row r="101" spans="1:25" ht="15.6" x14ac:dyDescent="0.3">
      <c r="A101" s="361"/>
      <c r="B101" s="361"/>
      <c r="C101" s="361"/>
      <c r="D101" s="361"/>
      <c r="E101" s="361"/>
      <c r="F101" s="361"/>
      <c r="G101" s="361"/>
      <c r="H101" s="361"/>
      <c r="I101" s="362">
        <v>45887</v>
      </c>
      <c r="J101" s="362"/>
    </row>
    <row r="102" spans="1:25" ht="13.8" x14ac:dyDescent="0.25">
      <c r="A102" s="249" t="s">
        <v>399</v>
      </c>
      <c r="B102" s="250">
        <v>30</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2293</v>
      </c>
      <c r="B107" s="14"/>
      <c r="C107" s="14"/>
      <c r="D107" s="16"/>
      <c r="E107" s="16"/>
      <c r="F107" s="14" t="s">
        <v>2294</v>
      </c>
      <c r="G107" s="14"/>
      <c r="H107" s="14"/>
      <c r="I107" s="15"/>
      <c r="J107" s="77">
        <v>3</v>
      </c>
      <c r="K107" s="92"/>
    </row>
    <row r="108" spans="1:25" ht="20.399999999999999" x14ac:dyDescent="0.25">
      <c r="A108" s="14" t="s">
        <v>2293</v>
      </c>
      <c r="B108" s="14" t="s">
        <v>2295</v>
      </c>
      <c r="C108" s="14">
        <v>102600103</v>
      </c>
      <c r="D108" s="16">
        <v>46099</v>
      </c>
      <c r="E108" s="16"/>
      <c r="F108" s="14" t="s">
        <v>2296</v>
      </c>
      <c r="G108" s="14">
        <v>35862289</v>
      </c>
      <c r="H108" s="14" t="s">
        <v>2297</v>
      </c>
      <c r="I108" s="15">
        <v>3394.8</v>
      </c>
      <c r="J108" s="77">
        <v>3</v>
      </c>
      <c r="K108" s="92"/>
    </row>
    <row r="109" spans="1:25" ht="13.2" x14ac:dyDescent="0.25">
      <c r="A109" s="14" t="s">
        <v>2293</v>
      </c>
      <c r="B109" s="14" t="s">
        <v>2298</v>
      </c>
      <c r="C109" s="14">
        <v>261556</v>
      </c>
      <c r="D109" s="16">
        <v>46104</v>
      </c>
      <c r="E109" s="16"/>
      <c r="F109" s="14" t="s">
        <v>2299</v>
      </c>
      <c r="G109" s="14">
        <v>46936238</v>
      </c>
      <c r="H109" s="14" t="s">
        <v>2300</v>
      </c>
      <c r="I109" s="15">
        <v>813</v>
      </c>
      <c r="J109" s="77">
        <v>3</v>
      </c>
      <c r="K109" s="92"/>
    </row>
    <row r="110" spans="1:25" ht="20.399999999999999" x14ac:dyDescent="0.25">
      <c r="A110" s="14" t="s">
        <v>2293</v>
      </c>
      <c r="B110" s="14" t="s">
        <v>2348</v>
      </c>
      <c r="C110" s="14" t="s">
        <v>2352</v>
      </c>
      <c r="D110" s="16">
        <v>46094</v>
      </c>
      <c r="E110" s="16"/>
      <c r="F110" s="14" t="s">
        <v>2350</v>
      </c>
      <c r="G110" s="14" t="s">
        <v>2351</v>
      </c>
      <c r="H110" s="14" t="s">
        <v>2349</v>
      </c>
      <c r="I110" s="15">
        <v>490</v>
      </c>
      <c r="J110" s="77">
        <v>3</v>
      </c>
      <c r="K110" s="92"/>
    </row>
    <row r="111" spans="1:25" ht="20.399999999999999" x14ac:dyDescent="0.25">
      <c r="A111" s="14" t="s">
        <v>2293</v>
      </c>
      <c r="B111" s="14" t="s">
        <v>2301</v>
      </c>
      <c r="C111" s="14">
        <v>20260303</v>
      </c>
      <c r="D111" s="16">
        <v>46112</v>
      </c>
      <c r="E111" s="16"/>
      <c r="F111" s="14" t="s">
        <v>2302</v>
      </c>
      <c r="G111" s="14"/>
      <c r="H111" s="14" t="s">
        <v>2303</v>
      </c>
      <c r="I111" s="15">
        <v>203</v>
      </c>
      <c r="J111" s="77">
        <v>3</v>
      </c>
      <c r="K111" s="92"/>
    </row>
    <row r="112" spans="1:25" ht="30.6" x14ac:dyDescent="0.25">
      <c r="A112" s="14" t="s">
        <v>2293</v>
      </c>
      <c r="B112" s="14"/>
      <c r="C112" s="14"/>
      <c r="D112" s="16"/>
      <c r="E112" s="16"/>
      <c r="F112" s="14" t="s">
        <v>2304</v>
      </c>
      <c r="G112" s="14"/>
      <c r="H112" s="14"/>
      <c r="I112" s="15"/>
      <c r="J112" s="77">
        <v>3</v>
      </c>
      <c r="K112" s="92"/>
    </row>
    <row r="113" spans="1:11" ht="20.399999999999999" x14ac:dyDescent="0.25">
      <c r="A113" s="14" t="s">
        <v>2293</v>
      </c>
      <c r="B113" s="14" t="s">
        <v>2472</v>
      </c>
      <c r="C113" s="14" t="s">
        <v>2473</v>
      </c>
      <c r="D113" s="16">
        <v>45972</v>
      </c>
      <c r="E113" s="16"/>
      <c r="F113" s="14" t="s">
        <v>2474</v>
      </c>
      <c r="G113" s="14">
        <v>46936238</v>
      </c>
      <c r="H113" s="15" t="s">
        <v>2300</v>
      </c>
      <c r="I113" s="77">
        <v>186</v>
      </c>
      <c r="J113" s="77">
        <v>3</v>
      </c>
      <c r="K113" s="92"/>
    </row>
    <row r="114" spans="1:11" ht="20.399999999999999" x14ac:dyDescent="0.25">
      <c r="A114" s="14" t="s">
        <v>2293</v>
      </c>
      <c r="B114" s="14" t="s">
        <v>2308</v>
      </c>
      <c r="C114" s="14">
        <v>202511111</v>
      </c>
      <c r="D114" s="16">
        <v>45994</v>
      </c>
      <c r="E114" s="16"/>
      <c r="F114" s="14" t="s">
        <v>2306</v>
      </c>
      <c r="G114" s="14">
        <v>34147811</v>
      </c>
      <c r="H114" s="14" t="s">
        <v>2307</v>
      </c>
      <c r="I114" s="15">
        <v>187.5</v>
      </c>
      <c r="J114" s="77">
        <v>3</v>
      </c>
      <c r="K114" s="92"/>
    </row>
    <row r="115" spans="1:11" ht="13.2" x14ac:dyDescent="0.25">
      <c r="A115" s="14" t="s">
        <v>2293</v>
      </c>
      <c r="B115" s="14"/>
      <c r="C115" s="14"/>
      <c r="D115" s="16"/>
      <c r="E115" s="16"/>
      <c r="F115" s="14" t="s">
        <v>2309</v>
      </c>
      <c r="G115" s="14"/>
      <c r="H115" s="14"/>
      <c r="I115" s="15"/>
      <c r="J115" s="77">
        <v>3</v>
      </c>
      <c r="K115" s="92"/>
    </row>
    <row r="116" spans="1:11" ht="30.6" x14ac:dyDescent="0.25">
      <c r="A116" s="14" t="s">
        <v>2293</v>
      </c>
      <c r="B116" s="14"/>
      <c r="C116" s="14"/>
      <c r="D116" s="16"/>
      <c r="E116" s="16"/>
      <c r="F116" s="14" t="s">
        <v>2313</v>
      </c>
      <c r="G116" s="14"/>
      <c r="H116" s="14"/>
      <c r="I116" s="15"/>
      <c r="J116" s="77">
        <v>3</v>
      </c>
      <c r="K116" s="92"/>
    </row>
    <row r="117" spans="1:11" ht="30.6" x14ac:dyDescent="0.25">
      <c r="A117" s="14" t="s">
        <v>2293</v>
      </c>
      <c r="B117" s="14" t="s">
        <v>2310</v>
      </c>
      <c r="C117" s="14">
        <v>1322</v>
      </c>
      <c r="D117" s="16">
        <v>46039</v>
      </c>
      <c r="E117" s="16">
        <v>46042</v>
      </c>
      <c r="F117" s="14" t="s">
        <v>2311</v>
      </c>
      <c r="G117" s="14">
        <v>54289521</v>
      </c>
      <c r="H117" s="14" t="s">
        <v>2312</v>
      </c>
      <c r="I117" s="15">
        <v>36</v>
      </c>
      <c r="J117" s="77">
        <v>3</v>
      </c>
      <c r="K117" s="92"/>
    </row>
    <row r="118" spans="1:11" ht="20.399999999999999" x14ac:dyDescent="0.25">
      <c r="A118" s="14" t="s">
        <v>2293</v>
      </c>
      <c r="B118" s="14" t="s">
        <v>2314</v>
      </c>
      <c r="C118" s="14">
        <v>70</v>
      </c>
      <c r="D118" s="16">
        <v>46055</v>
      </c>
      <c r="E118" s="16"/>
      <c r="F118" s="14" t="s">
        <v>2315</v>
      </c>
      <c r="G118" s="14"/>
      <c r="H118" s="14" t="s">
        <v>2316</v>
      </c>
      <c r="I118" s="15">
        <v>500</v>
      </c>
      <c r="J118" s="77">
        <v>3</v>
      </c>
      <c r="K118" s="92"/>
    </row>
    <row r="119" spans="1:11" ht="20.399999999999999" x14ac:dyDescent="0.25">
      <c r="A119" s="14" t="s">
        <v>2293</v>
      </c>
      <c r="B119" s="14" t="s">
        <v>2317</v>
      </c>
      <c r="C119" s="14" t="s">
        <v>2318</v>
      </c>
      <c r="D119" s="16">
        <v>46082</v>
      </c>
      <c r="E119" s="16"/>
      <c r="F119" s="14" t="s">
        <v>2319</v>
      </c>
      <c r="G119" s="14"/>
      <c r="H119" s="14" t="s">
        <v>2320</v>
      </c>
      <c r="I119" s="15">
        <v>261.91000000000003</v>
      </c>
      <c r="J119" s="77">
        <v>3</v>
      </c>
      <c r="K119" s="92"/>
    </row>
    <row r="120" spans="1:11" ht="51" x14ac:dyDescent="0.25">
      <c r="A120" s="14" t="s">
        <v>2293</v>
      </c>
      <c r="B120" s="14"/>
      <c r="C120" s="14"/>
      <c r="D120" s="16"/>
      <c r="E120" s="16"/>
      <c r="F120" s="14" t="s">
        <v>2321</v>
      </c>
      <c r="G120" s="14"/>
      <c r="H120" s="14"/>
      <c r="I120" s="15"/>
      <c r="J120" s="77">
        <v>3</v>
      </c>
      <c r="K120" s="92"/>
    </row>
    <row r="121" spans="1:11" ht="20.399999999999999" x14ac:dyDescent="0.25">
      <c r="A121" s="14" t="s">
        <v>2293</v>
      </c>
      <c r="B121" s="14" t="s">
        <v>2322</v>
      </c>
      <c r="C121" s="14">
        <v>9126117793</v>
      </c>
      <c r="D121" s="16">
        <v>46066</v>
      </c>
      <c r="E121" s="16"/>
      <c r="F121" s="14" t="s">
        <v>2324</v>
      </c>
      <c r="G121" s="14">
        <v>35897821</v>
      </c>
      <c r="H121" s="14" t="s">
        <v>2325</v>
      </c>
      <c r="I121" s="15">
        <v>1344</v>
      </c>
      <c r="J121" s="77">
        <v>3</v>
      </c>
      <c r="K121" s="92"/>
    </row>
    <row r="122" spans="1:11" ht="20.399999999999999" x14ac:dyDescent="0.25">
      <c r="A122" s="14" t="s">
        <v>2293</v>
      </c>
      <c r="B122" s="14" t="s">
        <v>2323</v>
      </c>
      <c r="C122" s="14">
        <v>9126136469</v>
      </c>
      <c r="D122" s="16">
        <v>46066</v>
      </c>
      <c r="E122" s="16"/>
      <c r="F122" s="14" t="s">
        <v>2326</v>
      </c>
      <c r="G122" s="14">
        <v>35897821</v>
      </c>
      <c r="H122" s="14" t="s">
        <v>2325</v>
      </c>
      <c r="I122" s="15">
        <v>84</v>
      </c>
      <c r="J122" s="77">
        <v>3</v>
      </c>
      <c r="K122" s="92"/>
    </row>
    <row r="123" spans="1:11" ht="20.399999999999999" x14ac:dyDescent="0.25">
      <c r="A123" s="14" t="s">
        <v>2293</v>
      </c>
      <c r="B123" s="14" t="s">
        <v>2327</v>
      </c>
      <c r="C123" s="14">
        <v>8126009830</v>
      </c>
      <c r="D123" s="16">
        <v>46082</v>
      </c>
      <c r="E123" s="16"/>
      <c r="F123" s="14" t="s">
        <v>2329</v>
      </c>
      <c r="G123" s="14">
        <v>35897821</v>
      </c>
      <c r="H123" s="14" t="s">
        <v>2325</v>
      </c>
      <c r="I123" s="15">
        <v>2016</v>
      </c>
      <c r="J123" s="77">
        <v>3</v>
      </c>
      <c r="K123" s="92"/>
    </row>
    <row r="124" spans="1:11" ht="20.399999999999999" x14ac:dyDescent="0.25">
      <c r="A124" s="14" t="s">
        <v>2293</v>
      </c>
      <c r="B124" s="14" t="s">
        <v>2328</v>
      </c>
      <c r="C124" s="14">
        <v>8126010763</v>
      </c>
      <c r="D124" s="16">
        <v>46085</v>
      </c>
      <c r="E124" s="16"/>
      <c r="F124" s="14" t="s">
        <v>2330</v>
      </c>
      <c r="G124" s="14">
        <v>35897821</v>
      </c>
      <c r="H124" s="14" t="s">
        <v>2325</v>
      </c>
      <c r="I124" s="15">
        <v>126</v>
      </c>
      <c r="J124" s="77">
        <v>3</v>
      </c>
      <c r="K124" s="92"/>
    </row>
    <row r="125" spans="1:11" ht="13.2" x14ac:dyDescent="0.25">
      <c r="A125" s="14" t="s">
        <v>2293</v>
      </c>
      <c r="B125" s="14" t="s">
        <v>2331</v>
      </c>
      <c r="C125" s="14" t="s">
        <v>2332</v>
      </c>
      <c r="D125" s="16">
        <v>46104</v>
      </c>
      <c r="E125" s="16"/>
      <c r="F125" s="14" t="s">
        <v>2333</v>
      </c>
      <c r="G125" s="14">
        <v>383934197</v>
      </c>
      <c r="H125" s="14" t="s">
        <v>2334</v>
      </c>
      <c r="I125" s="15">
        <v>1520</v>
      </c>
      <c r="J125" s="77">
        <v>3</v>
      </c>
      <c r="K125" s="92"/>
    </row>
    <row r="126" spans="1:11" ht="30.6" x14ac:dyDescent="0.25">
      <c r="A126" s="14" t="s">
        <v>2293</v>
      </c>
      <c r="B126" s="14"/>
      <c r="C126" s="14"/>
      <c r="D126" s="16"/>
      <c r="E126" s="16"/>
      <c r="F126" s="14" t="s">
        <v>2335</v>
      </c>
      <c r="G126" s="14"/>
      <c r="H126" s="14"/>
      <c r="I126" s="15"/>
      <c r="J126" s="77">
        <v>3</v>
      </c>
      <c r="K126" s="92"/>
    </row>
    <row r="127" spans="1:11" ht="20.399999999999999" x14ac:dyDescent="0.25">
      <c r="A127" s="14" t="s">
        <v>2293</v>
      </c>
      <c r="B127" s="14" t="s">
        <v>2336</v>
      </c>
      <c r="C127" s="14">
        <v>2690235</v>
      </c>
      <c r="D127" s="16">
        <v>46087</v>
      </c>
      <c r="E127" s="16"/>
      <c r="F127" s="14" t="s">
        <v>2338</v>
      </c>
      <c r="G127" s="14" t="s">
        <v>2339</v>
      </c>
      <c r="H127" s="14" t="s">
        <v>2340</v>
      </c>
      <c r="I127" s="15">
        <v>396.38</v>
      </c>
      <c r="J127" s="77">
        <v>3</v>
      </c>
      <c r="K127" s="92"/>
    </row>
    <row r="128" spans="1:11" ht="20.399999999999999" x14ac:dyDescent="0.25">
      <c r="A128" s="14" t="s">
        <v>2293</v>
      </c>
      <c r="B128" s="14" t="s">
        <v>2337</v>
      </c>
      <c r="C128" s="14">
        <v>202603018</v>
      </c>
      <c r="D128" s="16">
        <v>46087</v>
      </c>
      <c r="E128" s="16"/>
      <c r="F128" s="14" t="s">
        <v>2341</v>
      </c>
      <c r="G128" s="378">
        <v>55337368</v>
      </c>
      <c r="H128" s="14" t="s">
        <v>2342</v>
      </c>
      <c r="I128" s="15">
        <v>200.69</v>
      </c>
      <c r="J128" s="77">
        <v>3</v>
      </c>
      <c r="K128" s="92"/>
    </row>
    <row r="129" spans="1:11" ht="13.2" x14ac:dyDescent="0.25">
      <c r="A129" s="14" t="s">
        <v>2293</v>
      </c>
      <c r="B129" s="14" t="s">
        <v>2343</v>
      </c>
      <c r="C129" s="14">
        <v>20260222</v>
      </c>
      <c r="D129" s="16">
        <v>46103</v>
      </c>
      <c r="E129" s="16"/>
      <c r="F129" s="14" t="s">
        <v>2344</v>
      </c>
      <c r="G129" s="14">
        <v>34120866</v>
      </c>
      <c r="H129" s="14" t="s">
        <v>2305</v>
      </c>
      <c r="I129" s="15">
        <v>104.77</v>
      </c>
      <c r="J129" s="77">
        <v>3</v>
      </c>
      <c r="K129" s="92"/>
    </row>
    <row r="130" spans="1:11" ht="30.6" x14ac:dyDescent="0.25">
      <c r="A130" s="14" t="s">
        <v>2293</v>
      </c>
      <c r="B130" s="14" t="s">
        <v>2345</v>
      </c>
      <c r="C130" s="14">
        <v>2026004</v>
      </c>
      <c r="D130" s="16">
        <v>46112</v>
      </c>
      <c r="E130" s="16"/>
      <c r="F130" s="14" t="s">
        <v>2346</v>
      </c>
      <c r="G130" s="14">
        <v>44671792</v>
      </c>
      <c r="H130" s="14" t="s">
        <v>2347</v>
      </c>
      <c r="I130" s="15">
        <v>448.95</v>
      </c>
      <c r="J130" s="77">
        <v>3</v>
      </c>
      <c r="K130" s="92"/>
    </row>
    <row r="131" spans="1:11" ht="20.399999999999999" x14ac:dyDescent="0.25">
      <c r="A131" s="14" t="s">
        <v>2293</v>
      </c>
      <c r="B131" s="14" t="s">
        <v>2353</v>
      </c>
      <c r="C131" s="14" t="s">
        <v>2354</v>
      </c>
      <c r="D131" s="16">
        <v>45832</v>
      </c>
      <c r="E131" s="16"/>
      <c r="F131" s="14" t="s">
        <v>2424</v>
      </c>
      <c r="G131" s="14">
        <v>56512287</v>
      </c>
      <c r="H131" s="14" t="s">
        <v>2349</v>
      </c>
      <c r="I131" s="15">
        <v>400</v>
      </c>
      <c r="J131" s="77">
        <v>2</v>
      </c>
      <c r="K131" s="92"/>
    </row>
    <row r="132" spans="1:11" ht="20.399999999999999" x14ac:dyDescent="0.25">
      <c r="A132" s="14" t="s">
        <v>2293</v>
      </c>
      <c r="B132" s="14" t="s">
        <v>2355</v>
      </c>
      <c r="C132" s="14" t="s">
        <v>2356</v>
      </c>
      <c r="D132" s="16">
        <v>45845</v>
      </c>
      <c r="E132" s="16"/>
      <c r="F132" s="14" t="s">
        <v>2361</v>
      </c>
      <c r="G132" s="14">
        <v>50223852</v>
      </c>
      <c r="H132" s="14" t="s">
        <v>2362</v>
      </c>
      <c r="I132" s="15">
        <v>360</v>
      </c>
      <c r="J132" s="77">
        <v>2</v>
      </c>
      <c r="K132" s="92"/>
    </row>
    <row r="133" spans="1:11" ht="30.6" x14ac:dyDescent="0.25">
      <c r="A133" s="14" t="s">
        <v>2293</v>
      </c>
      <c r="B133" s="14" t="s">
        <v>2357</v>
      </c>
      <c r="C133" s="14" t="s">
        <v>2358</v>
      </c>
      <c r="D133" s="16">
        <v>45846</v>
      </c>
      <c r="E133" s="16">
        <v>45848</v>
      </c>
      <c r="F133" s="14" t="s">
        <v>2363</v>
      </c>
      <c r="G133" s="14">
        <v>35817721</v>
      </c>
      <c r="H133" s="14" t="s">
        <v>2364</v>
      </c>
      <c r="I133" s="15">
        <v>48</v>
      </c>
      <c r="J133" s="77">
        <v>2</v>
      </c>
      <c r="K133" s="92"/>
    </row>
    <row r="134" spans="1:11" ht="30.6" x14ac:dyDescent="0.25">
      <c r="A134" s="14" t="s">
        <v>2293</v>
      </c>
      <c r="B134" s="14" t="s">
        <v>2359</v>
      </c>
      <c r="C134" s="14" t="s">
        <v>2360</v>
      </c>
      <c r="D134" s="16">
        <v>45846</v>
      </c>
      <c r="E134" s="16">
        <v>45848</v>
      </c>
      <c r="F134" s="14" t="s">
        <v>2365</v>
      </c>
      <c r="G134" s="14">
        <v>35817721</v>
      </c>
      <c r="H134" s="14" t="s">
        <v>2364</v>
      </c>
      <c r="I134" s="15">
        <v>48</v>
      </c>
      <c r="J134" s="77">
        <v>2</v>
      </c>
      <c r="K134" s="92"/>
    </row>
    <row r="135" spans="1:11" ht="30.6" x14ac:dyDescent="0.25">
      <c r="A135" s="14" t="s">
        <v>2293</v>
      </c>
      <c r="B135" s="14" t="s">
        <v>2366</v>
      </c>
      <c r="C135" s="14" t="s">
        <v>2367</v>
      </c>
      <c r="D135" s="16">
        <v>45868</v>
      </c>
      <c r="E135" s="16">
        <v>45870</v>
      </c>
      <c r="F135" s="14" t="s">
        <v>2382</v>
      </c>
      <c r="G135" s="14">
        <v>30794609</v>
      </c>
      <c r="H135" s="14" t="s">
        <v>2383</v>
      </c>
      <c r="I135" s="15">
        <v>80</v>
      </c>
      <c r="J135" s="77">
        <v>2</v>
      </c>
      <c r="K135" s="92"/>
    </row>
    <row r="136" spans="1:11" ht="30.6" x14ac:dyDescent="0.25">
      <c r="A136" s="14" t="s">
        <v>2293</v>
      </c>
      <c r="B136" s="14" t="s">
        <v>2368</v>
      </c>
      <c r="C136" s="14" t="s">
        <v>2369</v>
      </c>
      <c r="D136" s="16">
        <v>45869</v>
      </c>
      <c r="E136" s="16">
        <v>45870</v>
      </c>
      <c r="F136" s="14" t="s">
        <v>2384</v>
      </c>
      <c r="G136" s="14">
        <v>35870940</v>
      </c>
      <c r="H136" s="14" t="s">
        <v>2385</v>
      </c>
      <c r="I136" s="15">
        <v>89.2</v>
      </c>
      <c r="J136" s="77">
        <v>2</v>
      </c>
      <c r="K136" s="92"/>
    </row>
    <row r="137" spans="1:11" ht="30.6" x14ac:dyDescent="0.25">
      <c r="A137" s="14" t="s">
        <v>2293</v>
      </c>
      <c r="B137" s="14" t="s">
        <v>2370</v>
      </c>
      <c r="C137" s="14">
        <v>352</v>
      </c>
      <c r="D137" s="16">
        <v>45869</v>
      </c>
      <c r="E137" s="16">
        <v>45870</v>
      </c>
      <c r="F137" s="14" t="s">
        <v>2386</v>
      </c>
      <c r="G137" s="14">
        <v>35870940</v>
      </c>
      <c r="H137" s="14" t="s">
        <v>2385</v>
      </c>
      <c r="I137" s="15">
        <v>89.2</v>
      </c>
      <c r="J137" s="77">
        <v>2</v>
      </c>
      <c r="K137" s="92"/>
    </row>
    <row r="138" spans="1:11" ht="30.6" x14ac:dyDescent="0.25">
      <c r="A138" s="14" t="s">
        <v>2293</v>
      </c>
      <c r="B138" s="14" t="s">
        <v>2371</v>
      </c>
      <c r="C138" s="14" t="s">
        <v>2372</v>
      </c>
      <c r="D138" s="16">
        <v>45880</v>
      </c>
      <c r="E138" s="16">
        <v>45880</v>
      </c>
      <c r="F138" s="14" t="s">
        <v>2387</v>
      </c>
      <c r="G138" s="14">
        <v>47658827</v>
      </c>
      <c r="H138" s="14" t="s">
        <v>2388</v>
      </c>
      <c r="I138" s="15">
        <v>45.95</v>
      </c>
      <c r="J138" s="77">
        <v>2</v>
      </c>
      <c r="K138" s="92"/>
    </row>
    <row r="139" spans="1:11" ht="30.6" x14ac:dyDescent="0.25">
      <c r="A139" s="14" t="s">
        <v>2293</v>
      </c>
      <c r="B139" s="14" t="s">
        <v>2373</v>
      </c>
      <c r="C139" s="14" t="s">
        <v>2374</v>
      </c>
      <c r="D139" s="16">
        <v>45881</v>
      </c>
      <c r="E139" s="16">
        <v>45884</v>
      </c>
      <c r="F139" s="14" t="s">
        <v>2389</v>
      </c>
      <c r="G139" s="14">
        <v>35817721</v>
      </c>
      <c r="H139" s="14" t="s">
        <v>2364</v>
      </c>
      <c r="I139" s="15">
        <v>48</v>
      </c>
      <c r="J139" s="77">
        <v>2</v>
      </c>
      <c r="K139" s="92"/>
    </row>
    <row r="140" spans="1:11" ht="30.6" x14ac:dyDescent="0.25">
      <c r="A140" s="14" t="s">
        <v>2293</v>
      </c>
      <c r="B140" s="14" t="s">
        <v>2375</v>
      </c>
      <c r="C140" s="14" t="s">
        <v>2376</v>
      </c>
      <c r="D140" s="16">
        <v>45881</v>
      </c>
      <c r="E140" s="16">
        <v>45884</v>
      </c>
      <c r="F140" s="14" t="s">
        <v>2390</v>
      </c>
      <c r="G140" s="14">
        <v>35817721</v>
      </c>
      <c r="H140" s="14" t="s">
        <v>2364</v>
      </c>
      <c r="I140" s="15">
        <v>48</v>
      </c>
      <c r="J140" s="77">
        <v>2</v>
      </c>
      <c r="K140" s="92"/>
    </row>
    <row r="141" spans="1:11" ht="20.399999999999999" x14ac:dyDescent="0.25">
      <c r="A141" s="14" t="s">
        <v>2293</v>
      </c>
      <c r="B141" s="14" t="s">
        <v>2377</v>
      </c>
      <c r="C141" s="14" t="s">
        <v>2378</v>
      </c>
      <c r="D141" s="16">
        <v>45897</v>
      </c>
      <c r="E141" s="16"/>
      <c r="F141" s="14" t="s">
        <v>2391</v>
      </c>
      <c r="G141" s="14">
        <v>36513148</v>
      </c>
      <c r="H141" s="14" t="s">
        <v>2392</v>
      </c>
      <c r="I141" s="15">
        <v>1178.3399999999999</v>
      </c>
      <c r="J141" s="77">
        <v>2</v>
      </c>
      <c r="K141" s="92"/>
    </row>
    <row r="142" spans="1:11" ht="30.6" x14ac:dyDescent="0.25">
      <c r="A142" s="14" t="s">
        <v>2293</v>
      </c>
      <c r="B142" s="14" t="s">
        <v>2379</v>
      </c>
      <c r="C142" s="14">
        <v>20</v>
      </c>
      <c r="D142" s="16">
        <v>45894</v>
      </c>
      <c r="E142" s="16">
        <v>45899</v>
      </c>
      <c r="F142" s="14" t="s">
        <v>2393</v>
      </c>
      <c r="G142" s="14">
        <v>51914123</v>
      </c>
      <c r="H142" s="14" t="s">
        <v>2394</v>
      </c>
      <c r="I142" s="15">
        <v>40</v>
      </c>
      <c r="J142" s="77">
        <v>2</v>
      </c>
      <c r="K142" s="92"/>
    </row>
    <row r="143" spans="1:11" ht="20.399999999999999" x14ac:dyDescent="0.25">
      <c r="A143" s="14" t="s">
        <v>2293</v>
      </c>
      <c r="B143" s="14" t="s">
        <v>2380</v>
      </c>
      <c r="C143" s="14" t="s">
        <v>2381</v>
      </c>
      <c r="D143" s="16">
        <v>45899</v>
      </c>
      <c r="E143" s="16"/>
      <c r="F143" s="14" t="s">
        <v>2395</v>
      </c>
      <c r="G143" s="14">
        <v>44350741</v>
      </c>
      <c r="H143" s="14" t="s">
        <v>2396</v>
      </c>
      <c r="I143" s="15">
        <v>15</v>
      </c>
      <c r="J143" s="77">
        <v>2</v>
      </c>
      <c r="K143" s="92"/>
    </row>
    <row r="144" spans="1:11" ht="20.399999999999999" x14ac:dyDescent="0.25">
      <c r="A144" s="14" t="s">
        <v>2293</v>
      </c>
      <c r="B144" s="14" t="s">
        <v>2397</v>
      </c>
      <c r="C144" s="14">
        <v>202508086</v>
      </c>
      <c r="D144" s="16">
        <v>45901</v>
      </c>
      <c r="E144" s="16"/>
      <c r="F144" s="14" t="s">
        <v>2400</v>
      </c>
      <c r="G144" s="14">
        <v>34147811</v>
      </c>
      <c r="H144" s="14" t="s">
        <v>2307</v>
      </c>
      <c r="I144" s="15">
        <v>37.5</v>
      </c>
      <c r="J144" s="77">
        <v>2</v>
      </c>
      <c r="K144" s="92"/>
    </row>
    <row r="145" spans="1:11" ht="13.2" x14ac:dyDescent="0.25">
      <c r="A145" s="14" t="s">
        <v>2293</v>
      </c>
      <c r="B145" s="14" t="s">
        <v>2398</v>
      </c>
      <c r="C145" s="14" t="s">
        <v>2399</v>
      </c>
      <c r="D145" s="16">
        <v>45916</v>
      </c>
      <c r="E145" s="16"/>
      <c r="F145" s="14" t="s">
        <v>2401</v>
      </c>
      <c r="G145" s="14">
        <v>45899991</v>
      </c>
      <c r="H145" s="14" t="s">
        <v>2402</v>
      </c>
      <c r="I145" s="15">
        <v>680</v>
      </c>
      <c r="J145" s="77">
        <v>2</v>
      </c>
      <c r="K145" s="92"/>
    </row>
    <row r="146" spans="1:11" ht="20.399999999999999" x14ac:dyDescent="0.25">
      <c r="A146" s="14" t="s">
        <v>2293</v>
      </c>
      <c r="B146" s="14" t="s">
        <v>2403</v>
      </c>
      <c r="C146" s="14">
        <v>8725</v>
      </c>
      <c r="D146" s="16">
        <v>45926</v>
      </c>
      <c r="E146" s="16"/>
      <c r="F146" s="14" t="s">
        <v>2400</v>
      </c>
      <c r="G146" s="14">
        <v>51000954</v>
      </c>
      <c r="H146" s="14" t="s">
        <v>2404</v>
      </c>
      <c r="I146" s="15">
        <v>400</v>
      </c>
      <c r="J146" s="77">
        <v>2</v>
      </c>
      <c r="K146" s="92"/>
    </row>
    <row r="147" spans="1:11" ht="13.2" x14ac:dyDescent="0.25">
      <c r="A147" s="14" t="s">
        <v>2293</v>
      </c>
      <c r="B147" s="14" t="s">
        <v>2405</v>
      </c>
      <c r="C147" s="14">
        <v>20255077</v>
      </c>
      <c r="D147" s="16">
        <v>45980</v>
      </c>
      <c r="E147" s="16"/>
      <c r="F147" s="14" t="s">
        <v>2406</v>
      </c>
      <c r="G147" s="14" t="s">
        <v>2407</v>
      </c>
      <c r="H147" s="14" t="s">
        <v>2408</v>
      </c>
      <c r="I147" s="15">
        <v>100</v>
      </c>
      <c r="J147" s="77">
        <v>2</v>
      </c>
      <c r="K147" s="92"/>
    </row>
    <row r="148" spans="1:11" ht="20.399999999999999" x14ac:dyDescent="0.25">
      <c r="A148" s="14" t="s">
        <v>2293</v>
      </c>
      <c r="B148" s="14" t="s">
        <v>2409</v>
      </c>
      <c r="C148" s="14">
        <v>12925</v>
      </c>
      <c r="D148" s="16">
        <v>46009</v>
      </c>
      <c r="E148" s="16"/>
      <c r="F148" s="14" t="s">
        <v>2400</v>
      </c>
      <c r="G148" s="14">
        <v>51000954</v>
      </c>
      <c r="H148" s="14" t="s">
        <v>2404</v>
      </c>
      <c r="I148" s="15">
        <v>400</v>
      </c>
      <c r="J148" s="77">
        <v>2</v>
      </c>
      <c r="K148" s="92"/>
    </row>
    <row r="149" spans="1:11" ht="20.399999999999999" x14ac:dyDescent="0.25">
      <c r="A149" s="14" t="s">
        <v>2293</v>
      </c>
      <c r="B149" s="14" t="s">
        <v>2410</v>
      </c>
      <c r="C149" s="14">
        <v>2026001</v>
      </c>
      <c r="D149" s="16">
        <v>46051</v>
      </c>
      <c r="E149" s="16"/>
      <c r="F149" s="14" t="s">
        <v>2411</v>
      </c>
      <c r="G149" s="14">
        <v>47791675</v>
      </c>
      <c r="H149" s="14" t="s">
        <v>2412</v>
      </c>
      <c r="I149" s="15">
        <v>120</v>
      </c>
      <c r="J149" s="77">
        <v>2</v>
      </c>
      <c r="K149" s="92"/>
    </row>
    <row r="150" spans="1:11" ht="30.6" x14ac:dyDescent="0.25">
      <c r="A150" s="14" t="s">
        <v>2293</v>
      </c>
      <c r="B150" s="14" t="s">
        <v>2413</v>
      </c>
      <c r="C150" s="14" t="s">
        <v>2414</v>
      </c>
      <c r="D150" s="16">
        <v>46057</v>
      </c>
      <c r="E150" s="16">
        <v>46057</v>
      </c>
      <c r="F150" s="14" t="s">
        <v>2417</v>
      </c>
      <c r="G150" s="14"/>
      <c r="H150" s="14" t="s">
        <v>2418</v>
      </c>
      <c r="I150" s="15">
        <v>159.94999999999999</v>
      </c>
      <c r="J150" s="77">
        <v>2</v>
      </c>
      <c r="K150" s="92"/>
    </row>
    <row r="151" spans="1:11" ht="13.2" x14ac:dyDescent="0.25">
      <c r="A151" s="14" t="s">
        <v>2293</v>
      </c>
      <c r="B151" s="14" t="s">
        <v>2415</v>
      </c>
      <c r="C151" s="14" t="s">
        <v>2416</v>
      </c>
      <c r="D151" s="16">
        <v>46062</v>
      </c>
      <c r="E151" s="16"/>
      <c r="F151" s="14" t="s">
        <v>2419</v>
      </c>
      <c r="G151" s="14"/>
      <c r="H151" s="14" t="s">
        <v>2420</v>
      </c>
      <c r="I151" s="15">
        <v>559.71</v>
      </c>
      <c r="J151" s="77">
        <v>2</v>
      </c>
      <c r="K151" s="92"/>
    </row>
    <row r="152" spans="1:11" ht="20.399999999999999" x14ac:dyDescent="0.25">
      <c r="A152" s="14" t="s">
        <v>2293</v>
      </c>
      <c r="B152" s="14" t="s">
        <v>2421</v>
      </c>
      <c r="C152" s="14" t="s">
        <v>2422</v>
      </c>
      <c r="D152" s="16">
        <v>46090</v>
      </c>
      <c r="E152" s="16"/>
      <c r="F152" s="14" t="s">
        <v>2391</v>
      </c>
      <c r="G152" s="14">
        <v>36513148</v>
      </c>
      <c r="H152" s="14" t="s">
        <v>2392</v>
      </c>
      <c r="I152" s="15">
        <v>806.88</v>
      </c>
      <c r="J152" s="77">
        <v>2</v>
      </c>
      <c r="K152" s="92"/>
    </row>
    <row r="153" spans="1:11" ht="20.399999999999999" x14ac:dyDescent="0.25">
      <c r="A153" s="14" t="s">
        <v>2293</v>
      </c>
      <c r="B153" s="14" t="s">
        <v>2423</v>
      </c>
      <c r="C153" s="14">
        <v>3126</v>
      </c>
      <c r="D153" s="16">
        <v>46100</v>
      </c>
      <c r="E153" s="16"/>
      <c r="F153" s="14" t="s">
        <v>2400</v>
      </c>
      <c r="G153" s="14">
        <v>51000954</v>
      </c>
      <c r="H153" s="14" t="s">
        <v>2404</v>
      </c>
      <c r="I153" s="15">
        <v>400</v>
      </c>
      <c r="J153" s="77">
        <v>2</v>
      </c>
      <c r="K153" s="92"/>
    </row>
    <row r="154" spans="1:11" ht="20.399999999999999" x14ac:dyDescent="0.25">
      <c r="A154" s="14" t="s">
        <v>2293</v>
      </c>
      <c r="B154" s="14" t="s">
        <v>2425</v>
      </c>
      <c r="C154" s="14">
        <v>2025001</v>
      </c>
      <c r="D154" s="16">
        <v>45735</v>
      </c>
      <c r="E154" s="16"/>
      <c r="F154" s="14" t="s">
        <v>2426</v>
      </c>
      <c r="G154" s="14">
        <v>54187575</v>
      </c>
      <c r="H154" s="14" t="s">
        <v>2427</v>
      </c>
      <c r="I154" s="15">
        <v>750</v>
      </c>
      <c r="J154" s="77">
        <v>1</v>
      </c>
      <c r="K154" s="92"/>
    </row>
    <row r="155" spans="1:11" ht="20.399999999999999" x14ac:dyDescent="0.25">
      <c r="A155" s="14" t="s">
        <v>2293</v>
      </c>
      <c r="B155" s="14" t="s">
        <v>2428</v>
      </c>
      <c r="C155" s="14">
        <v>250100004</v>
      </c>
      <c r="D155" s="16">
        <v>45978</v>
      </c>
      <c r="E155" s="16"/>
      <c r="F155" s="14" t="s">
        <v>2438</v>
      </c>
      <c r="G155" s="14">
        <v>42176697</v>
      </c>
      <c r="H155" s="14" t="s">
        <v>2439</v>
      </c>
      <c r="I155" s="15">
        <v>1530</v>
      </c>
      <c r="J155" s="77">
        <v>1</v>
      </c>
      <c r="K155" s="92"/>
    </row>
    <row r="156" spans="1:11" ht="20.399999999999999" x14ac:dyDescent="0.25">
      <c r="A156" s="14" t="s">
        <v>2293</v>
      </c>
      <c r="B156" s="14" t="s">
        <v>2429</v>
      </c>
      <c r="C156" s="14" t="s">
        <v>2430</v>
      </c>
      <c r="D156" s="16">
        <v>45978</v>
      </c>
      <c r="E156" s="16"/>
      <c r="F156" s="14" t="s">
        <v>2440</v>
      </c>
      <c r="G156" s="14">
        <v>34007113</v>
      </c>
      <c r="H156" s="14" t="s">
        <v>2441</v>
      </c>
      <c r="I156" s="15">
        <v>1305</v>
      </c>
      <c r="J156" s="77">
        <v>1</v>
      </c>
      <c r="K156" s="92"/>
    </row>
    <row r="157" spans="1:11" ht="20.399999999999999" x14ac:dyDescent="0.25">
      <c r="A157" s="14" t="s">
        <v>2293</v>
      </c>
      <c r="B157" s="14" t="s">
        <v>2431</v>
      </c>
      <c r="C157" s="14" t="s">
        <v>2432</v>
      </c>
      <c r="D157" s="16">
        <v>45978</v>
      </c>
      <c r="E157" s="16"/>
      <c r="F157" s="14" t="s">
        <v>2442</v>
      </c>
      <c r="G157" s="14">
        <v>42265045</v>
      </c>
      <c r="H157" s="14" t="s">
        <v>2443</v>
      </c>
      <c r="I157" s="15">
        <v>1350</v>
      </c>
      <c r="J157" s="77">
        <v>1</v>
      </c>
      <c r="K157" s="92"/>
    </row>
    <row r="158" spans="1:11" ht="20.399999999999999" x14ac:dyDescent="0.25">
      <c r="A158" s="14" t="s">
        <v>2293</v>
      </c>
      <c r="B158" s="14" t="s">
        <v>2433</v>
      </c>
      <c r="C158" s="14" t="s">
        <v>2433</v>
      </c>
      <c r="D158" s="16">
        <v>45978</v>
      </c>
      <c r="E158" s="16"/>
      <c r="F158" s="14" t="s">
        <v>2444</v>
      </c>
      <c r="G158" s="14">
        <v>36081167</v>
      </c>
      <c r="H158" s="14" t="s">
        <v>2445</v>
      </c>
      <c r="I158" s="15">
        <v>1215</v>
      </c>
      <c r="J158" s="77">
        <v>1</v>
      </c>
      <c r="K158" s="92"/>
    </row>
    <row r="159" spans="1:11" ht="20.399999999999999" x14ac:dyDescent="0.25">
      <c r="A159" s="14" t="s">
        <v>2293</v>
      </c>
      <c r="B159" s="14" t="s">
        <v>2434</v>
      </c>
      <c r="C159" s="14">
        <v>2025091</v>
      </c>
      <c r="D159" s="16">
        <v>45978</v>
      </c>
      <c r="E159" s="16"/>
      <c r="F159" s="14" t="s">
        <v>2446</v>
      </c>
      <c r="G159" s="14">
        <v>42135109</v>
      </c>
      <c r="H159" s="14" t="s">
        <v>2447</v>
      </c>
      <c r="I159" s="15">
        <v>1440</v>
      </c>
      <c r="J159" s="77">
        <v>1</v>
      </c>
      <c r="K159" s="92"/>
    </row>
    <row r="160" spans="1:11" ht="20.399999999999999" x14ac:dyDescent="0.25">
      <c r="A160" s="14" t="s">
        <v>2293</v>
      </c>
      <c r="B160" s="14" t="s">
        <v>2435</v>
      </c>
      <c r="C160" s="14">
        <v>2501</v>
      </c>
      <c r="D160" s="16">
        <v>45978</v>
      </c>
      <c r="E160" s="16"/>
      <c r="F160" s="14" t="s">
        <v>2448</v>
      </c>
      <c r="G160" s="14">
        <v>37846906</v>
      </c>
      <c r="H160" s="14" t="s">
        <v>2449</v>
      </c>
      <c r="I160" s="15">
        <v>1350</v>
      </c>
      <c r="J160" s="77">
        <v>1</v>
      </c>
      <c r="K160" s="92"/>
    </row>
    <row r="161" spans="1:11" ht="20.399999999999999" x14ac:dyDescent="0.25">
      <c r="A161" s="14" t="s">
        <v>2293</v>
      </c>
      <c r="B161" s="14" t="s">
        <v>2436</v>
      </c>
      <c r="C161" s="14" t="s">
        <v>2430</v>
      </c>
      <c r="D161" s="16">
        <v>45978</v>
      </c>
      <c r="E161" s="16"/>
      <c r="F161" s="14" t="s">
        <v>2450</v>
      </c>
      <c r="G161" s="14">
        <v>37803263</v>
      </c>
      <c r="H161" s="14" t="s">
        <v>2451</v>
      </c>
      <c r="I161" s="15">
        <v>2070</v>
      </c>
      <c r="J161" s="77">
        <v>1</v>
      </c>
      <c r="K161" s="92"/>
    </row>
    <row r="162" spans="1:11" ht="20.399999999999999" x14ac:dyDescent="0.25">
      <c r="A162" s="14" t="s">
        <v>2293</v>
      </c>
      <c r="B162" s="14" t="s">
        <v>2437</v>
      </c>
      <c r="C162" s="14">
        <v>2025001</v>
      </c>
      <c r="D162" s="16">
        <v>45978</v>
      </c>
      <c r="E162" s="16"/>
      <c r="F162" s="14" t="s">
        <v>2452</v>
      </c>
      <c r="G162" s="14">
        <v>42302862</v>
      </c>
      <c r="H162" s="14" t="s">
        <v>2453</v>
      </c>
      <c r="I162" s="15">
        <v>375</v>
      </c>
      <c r="J162" s="77">
        <v>1</v>
      </c>
      <c r="K162" s="92"/>
    </row>
    <row r="163" spans="1:11" ht="20.399999999999999" x14ac:dyDescent="0.25">
      <c r="A163" s="14" t="s">
        <v>2293</v>
      </c>
      <c r="B163" s="14" t="s">
        <v>2454</v>
      </c>
      <c r="C163" s="14">
        <v>202501</v>
      </c>
      <c r="D163" s="16">
        <v>45988</v>
      </c>
      <c r="E163" s="16"/>
      <c r="F163" s="14" t="s">
        <v>2455</v>
      </c>
      <c r="G163" s="14">
        <v>52531201</v>
      </c>
      <c r="H163" s="14" t="s">
        <v>2456</v>
      </c>
      <c r="I163" s="15">
        <v>225</v>
      </c>
      <c r="J163" s="77">
        <v>1</v>
      </c>
      <c r="K163" s="92"/>
    </row>
    <row r="164" spans="1:11" ht="20.399999999999999" x14ac:dyDescent="0.25">
      <c r="A164" s="14" t="s">
        <v>2293</v>
      </c>
      <c r="B164" s="14" t="s">
        <v>2457</v>
      </c>
      <c r="C164" s="14" t="s">
        <v>2457</v>
      </c>
      <c r="D164" s="16">
        <v>46041</v>
      </c>
      <c r="E164" s="16">
        <v>46041</v>
      </c>
      <c r="F164" s="14" t="s">
        <v>2458</v>
      </c>
      <c r="G164" s="14">
        <v>36631124</v>
      </c>
      <c r="H164" s="14" t="s">
        <v>2459</v>
      </c>
      <c r="I164" s="15">
        <v>4.3</v>
      </c>
      <c r="J164" s="77">
        <v>4</v>
      </c>
      <c r="K164" s="92"/>
    </row>
    <row r="165" spans="1:11" ht="13.2" x14ac:dyDescent="0.25">
      <c r="A165" s="14" t="s">
        <v>2293</v>
      </c>
      <c r="B165" s="14" t="s">
        <v>2460</v>
      </c>
      <c r="C165" s="14">
        <v>102628706</v>
      </c>
      <c r="D165" s="16">
        <v>46044</v>
      </c>
      <c r="E165" s="16"/>
      <c r="F165" s="14" t="s">
        <v>2462</v>
      </c>
      <c r="G165" s="14">
        <v>42019541</v>
      </c>
      <c r="H165" s="14" t="s">
        <v>2463</v>
      </c>
      <c r="I165" s="15">
        <v>51.56</v>
      </c>
      <c r="J165" s="77">
        <v>4</v>
      </c>
      <c r="K165" s="92"/>
    </row>
    <row r="166" spans="1:11" ht="13.2" x14ac:dyDescent="0.25">
      <c r="A166" s="14" t="s">
        <v>2293</v>
      </c>
      <c r="B166" s="14" t="s">
        <v>2461</v>
      </c>
      <c r="C166" s="14">
        <v>102634073</v>
      </c>
      <c r="D166" s="16">
        <v>46048</v>
      </c>
      <c r="E166" s="16"/>
      <c r="F166" s="14" t="s">
        <v>2464</v>
      </c>
      <c r="G166" s="14">
        <v>42019541</v>
      </c>
      <c r="H166" s="14" t="s">
        <v>2463</v>
      </c>
      <c r="I166" s="15">
        <v>19.43</v>
      </c>
      <c r="J166" s="77">
        <v>4</v>
      </c>
      <c r="K166" s="92"/>
    </row>
    <row r="167" spans="1:11" ht="20.399999999999999" x14ac:dyDescent="0.25">
      <c r="A167" s="14" t="s">
        <v>2293</v>
      </c>
      <c r="B167" s="14" t="s">
        <v>2465</v>
      </c>
      <c r="C167" s="14">
        <v>260201</v>
      </c>
      <c r="D167" s="16">
        <v>46071</v>
      </c>
      <c r="E167" s="16"/>
      <c r="F167" s="14" t="s">
        <v>2466</v>
      </c>
      <c r="G167" s="14">
        <v>55101046</v>
      </c>
      <c r="H167" s="14" t="s">
        <v>2467</v>
      </c>
      <c r="I167" s="15">
        <v>200</v>
      </c>
      <c r="J167" s="77">
        <v>4</v>
      </c>
      <c r="K167" s="92"/>
    </row>
    <row r="168" spans="1:11" ht="13.2" x14ac:dyDescent="0.25">
      <c r="A168" s="14" t="s">
        <v>2293</v>
      </c>
      <c r="B168" s="14" t="s">
        <v>2468</v>
      </c>
      <c r="C168" s="14" t="s">
        <v>2468</v>
      </c>
      <c r="D168" s="16">
        <v>46082</v>
      </c>
      <c r="E168" s="16"/>
      <c r="F168" s="14" t="s">
        <v>2469</v>
      </c>
      <c r="G168" s="14">
        <v>36869376</v>
      </c>
      <c r="H168" s="14" t="s">
        <v>2470</v>
      </c>
      <c r="I168" s="15">
        <v>20</v>
      </c>
      <c r="J168" s="77">
        <v>4</v>
      </c>
      <c r="K168" s="92"/>
    </row>
    <row r="169" spans="1:11" ht="30.6" x14ac:dyDescent="0.25">
      <c r="A169" s="14" t="s">
        <v>2293</v>
      </c>
      <c r="B169" s="14" t="s">
        <v>2371</v>
      </c>
      <c r="C169" s="14" t="s">
        <v>2372</v>
      </c>
      <c r="D169" s="16">
        <v>45880</v>
      </c>
      <c r="E169" s="16">
        <v>45880</v>
      </c>
      <c r="F169" s="14" t="s">
        <v>2387</v>
      </c>
      <c r="G169" s="14" t="s">
        <v>2471</v>
      </c>
      <c r="H169" s="14" t="s">
        <v>152</v>
      </c>
      <c r="I169" s="15">
        <v>4</v>
      </c>
      <c r="J169" s="77">
        <v>4</v>
      </c>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x14ac:dyDescent="0.2">
      <c r="A4448" s="14"/>
      <c r="B4448" s="14"/>
      <c r="C4448" s="14"/>
      <c r="D4448" s="16"/>
      <c r="E4448" s="16"/>
      <c r="F4448" s="14"/>
      <c r="G4448" s="14"/>
      <c r="H4448" s="14"/>
      <c r="I4448" s="15"/>
      <c r="J4448" s="77"/>
    </row>
    <row r="4449" spans="1:10" x14ac:dyDescent="0.2">
      <c r="A4449" s="14"/>
      <c r="B4449" s="14"/>
      <c r="C4449" s="14"/>
      <c r="D4449" s="16"/>
      <c r="E4449" s="16"/>
      <c r="F4449" s="14"/>
      <c r="G4449" s="14"/>
      <c r="H4449" s="14"/>
      <c r="I4449" s="15"/>
      <c r="J4449" s="77"/>
    </row>
    <row r="4450" spans="1:10" x14ac:dyDescent="0.2">
      <c r="A4450" s="14"/>
      <c r="B4450" s="14"/>
      <c r="C4450" s="14"/>
      <c r="D4450" s="16"/>
      <c r="E4450" s="16"/>
      <c r="F4450" s="14"/>
      <c r="G4450" s="14"/>
      <c r="H4450" s="14"/>
      <c r="I4450" s="15"/>
      <c r="J4450" s="77"/>
    </row>
    <row r="4451" spans="1:10" x14ac:dyDescent="0.2">
      <c r="A4451" s="14"/>
      <c r="B4451" s="14"/>
      <c r="C4451" s="14"/>
      <c r="D4451" s="16"/>
      <c r="E4451" s="16"/>
      <c r="F4451" s="14"/>
      <c r="G4451" s="14"/>
      <c r="H4451" s="14"/>
      <c r="I4451" s="15"/>
      <c r="J4451" s="77"/>
    </row>
    <row r="4452" spans="1:10" x14ac:dyDescent="0.2">
      <c r="A4452" s="14"/>
      <c r="B4452" s="14"/>
      <c r="C4452" s="14"/>
      <c r="D4452" s="16"/>
      <c r="E4452" s="16"/>
      <c r="F4452" s="14"/>
      <c r="G4452" s="14"/>
      <c r="H4452" s="14"/>
      <c r="I4452" s="15"/>
      <c r="J4452" s="77"/>
    </row>
    <row r="4453" spans="1:10" x14ac:dyDescent="0.2">
      <c r="A4453" s="14"/>
      <c r="B4453" s="14"/>
      <c r="C4453" s="14"/>
      <c r="D4453" s="16"/>
      <c r="E4453" s="16"/>
      <c r="F4453" s="14"/>
      <c r="G4453" s="14"/>
      <c r="H4453" s="14"/>
      <c r="I4453" s="15"/>
      <c r="J4453" s="77"/>
    </row>
    <row r="4454" spans="1:10" x14ac:dyDescent="0.2">
      <c r="A4454" s="14"/>
      <c r="B4454" s="14"/>
      <c r="C4454" s="14"/>
      <c r="D4454" s="16"/>
      <c r="E4454" s="16"/>
      <c r="F4454" s="14"/>
      <c r="G4454" s="14"/>
      <c r="H4454" s="14"/>
      <c r="I4454" s="15"/>
      <c r="J4454" s="77"/>
    </row>
    <row r="4455" spans="1:10" x14ac:dyDescent="0.2">
      <c r="A4455" s="14"/>
      <c r="B4455" s="14"/>
      <c r="C4455" s="14"/>
      <c r="D4455" s="16"/>
      <c r="E4455" s="16"/>
      <c r="F4455" s="14"/>
      <c r="G4455" s="14"/>
      <c r="H4455" s="14"/>
      <c r="I4455" s="15"/>
      <c r="J4455" s="77"/>
    </row>
    <row r="4456" spans="1:10" x14ac:dyDescent="0.2">
      <c r="A4456" s="14"/>
      <c r="B4456" s="14"/>
      <c r="C4456" s="14"/>
      <c r="D4456" s="16"/>
      <c r="E4456" s="16"/>
      <c r="F4456" s="14"/>
      <c r="G4456" s="14"/>
      <c r="H4456" s="14"/>
      <c r="I4456" s="15"/>
      <c r="J4456" s="77"/>
    </row>
    <row r="4457" spans="1:10" x14ac:dyDescent="0.2">
      <c r="A4457" s="14"/>
      <c r="B4457" s="14"/>
      <c r="C4457" s="14"/>
      <c r="D4457" s="16"/>
      <c r="E4457" s="16"/>
      <c r="F4457" s="14"/>
      <c r="G4457" s="14"/>
      <c r="H4457" s="14"/>
      <c r="I4457" s="15"/>
      <c r="J4457" s="77"/>
    </row>
    <row r="4458" spans="1:10" x14ac:dyDescent="0.2">
      <c r="A4458" s="14"/>
      <c r="B4458" s="14"/>
      <c r="C4458" s="14"/>
      <c r="D4458" s="16"/>
      <c r="E4458" s="16"/>
      <c r="F4458" s="14"/>
      <c r="G4458" s="14"/>
      <c r="H4458" s="14"/>
      <c r="I4458" s="15"/>
      <c r="J4458" s="77"/>
    </row>
    <row r="4459" spans="1:10" x14ac:dyDescent="0.2">
      <c r="A4459" s="14"/>
      <c r="B4459" s="14"/>
      <c r="C4459" s="14"/>
      <c r="D4459" s="16"/>
      <c r="E4459" s="16"/>
      <c r="F4459" s="14"/>
      <c r="G4459" s="14"/>
      <c r="H4459" s="14"/>
      <c r="I4459" s="15"/>
      <c r="J4459" s="77"/>
    </row>
    <row r="4460" spans="1:10" x14ac:dyDescent="0.2">
      <c r="A4460" s="14"/>
      <c r="B4460" s="14"/>
      <c r="C4460" s="14"/>
      <c r="D4460" s="16"/>
      <c r="E4460" s="16"/>
      <c r="F4460" s="14"/>
      <c r="G4460" s="14"/>
      <c r="H4460" s="14"/>
      <c r="I4460" s="15"/>
      <c r="J4460" s="77"/>
    </row>
    <row r="4461" spans="1:10" x14ac:dyDescent="0.2">
      <c r="A4461" s="14"/>
      <c r="B4461" s="14"/>
      <c r="C4461" s="14"/>
      <c r="D4461" s="16"/>
      <c r="E4461" s="16"/>
      <c r="F4461" s="14"/>
      <c r="G4461" s="14"/>
      <c r="H4461" s="14"/>
      <c r="I4461" s="15"/>
      <c r="J4461" s="77"/>
    </row>
    <row r="4462" spans="1:10" x14ac:dyDescent="0.2">
      <c r="A4462" s="14"/>
      <c r="B4462" s="14"/>
      <c r="C4462" s="14"/>
      <c r="D4462" s="16"/>
      <c r="E4462" s="16"/>
      <c r="F4462" s="14"/>
      <c r="G4462" s="14"/>
      <c r="H4462" s="14"/>
      <c r="I4462" s="15"/>
      <c r="J4462" s="77"/>
    </row>
    <row r="4463" spans="1:10" x14ac:dyDescent="0.2">
      <c r="A4463" s="14"/>
      <c r="B4463" s="14"/>
      <c r="C4463" s="14"/>
      <c r="D4463" s="16"/>
      <c r="E4463" s="16"/>
      <c r="F4463" s="14"/>
      <c r="G4463" s="14"/>
      <c r="H4463" s="14"/>
      <c r="I4463" s="15"/>
      <c r="J4463" s="77"/>
    </row>
    <row r="4464" spans="1:10"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sheetData>
  <dataConsolidate/>
  <mergeCells count="5">
    <mergeCell ref="A100:H100"/>
    <mergeCell ref="I101:J101"/>
    <mergeCell ref="I100:J100"/>
    <mergeCell ref="A101:H101"/>
    <mergeCell ref="A105:J105"/>
  </mergeCells>
  <conditionalFormatting sqref="A107:J4961">
    <cfRule type="expression" dxfId="79" priority="35" stopIfTrue="1">
      <formula>$A107&lt;&gt;""</formula>
    </cfRule>
  </conditionalFormatting>
  <conditionalFormatting sqref="A1073:H1074">
    <cfRule type="expression" dxfId="78" priority="46" stopIfTrue="1">
      <formula>$A1073&lt;&gt;""</formula>
    </cfRule>
  </conditionalFormatting>
  <conditionalFormatting sqref="B433:E438">
    <cfRule type="expression" dxfId="77" priority="137" stopIfTrue="1">
      <formula>$A433&lt;&gt;""</formula>
    </cfRule>
  </conditionalFormatting>
  <conditionalFormatting sqref="B445:E449">
    <cfRule type="expression" dxfId="76" priority="172" stopIfTrue="1">
      <formula>$A445&lt;&gt;""</formula>
    </cfRule>
  </conditionalFormatting>
  <conditionalFormatting sqref="B650:E650">
    <cfRule type="expression" dxfId="75" priority="64" stopIfTrue="1">
      <formula>$A650&lt;&gt;""</formula>
    </cfRule>
  </conditionalFormatting>
  <conditionalFormatting sqref="B652:E652 H652:I652 B653:I654 B655:E660 H655:I660">
    <cfRule type="expression" dxfId="74" priority="24" stopIfTrue="1">
      <formula>$A652&lt;&gt;""</formula>
    </cfRule>
  </conditionalFormatting>
  <conditionalFormatting sqref="B662:E662 H662:I662">
    <cfRule type="expression" dxfId="73" priority="15" stopIfTrue="1">
      <formula>$A662&lt;&gt;""</formula>
    </cfRule>
  </conditionalFormatting>
  <conditionalFormatting sqref="B780:E780">
    <cfRule type="expression" dxfId="72" priority="87" stopIfTrue="1">
      <formula>$A780&lt;&gt;""</formula>
    </cfRule>
  </conditionalFormatting>
  <conditionalFormatting sqref="B1071:E1071">
    <cfRule type="expression" dxfId="71" priority="133" stopIfTrue="1">
      <formula>$A1071&lt;&gt;""</formula>
    </cfRule>
  </conditionalFormatting>
  <conditionalFormatting sqref="B1075:E1075">
    <cfRule type="expression" dxfId="70" priority="189" stopIfTrue="1">
      <formula>$A1075&lt;&gt;""</formula>
    </cfRule>
  </conditionalFormatting>
  <conditionalFormatting sqref="B1092:E1097">
    <cfRule type="expression" dxfId="69" priority="179" stopIfTrue="1">
      <formula>$A1092&lt;&gt;""</formula>
    </cfRule>
  </conditionalFormatting>
  <conditionalFormatting sqref="B1099:E1109">
    <cfRule type="expression" dxfId="68" priority="47" stopIfTrue="1">
      <formula>$A1099&lt;&gt;""</formula>
    </cfRule>
  </conditionalFormatting>
  <conditionalFormatting sqref="B1113:E1113">
    <cfRule type="expression" dxfId="67" priority="73" stopIfTrue="1">
      <formula>$A1113&lt;&gt;""</formula>
    </cfRule>
  </conditionalFormatting>
  <conditionalFormatting sqref="B1214:E1221 I1214:J1231">
    <cfRule type="expression" dxfId="66" priority="123" stopIfTrue="1">
      <formula>$A1214&lt;&gt;""</formula>
    </cfRule>
  </conditionalFormatting>
  <conditionalFormatting sqref="B1254:E1262">
    <cfRule type="expression" dxfId="65" priority="158" stopIfTrue="1">
      <formula>$A1254&lt;&gt;""</formula>
    </cfRule>
  </conditionalFormatting>
  <conditionalFormatting sqref="B1264:E1287">
    <cfRule type="expression" dxfId="64" priority="37" stopIfTrue="1">
      <formula>$A1264&lt;&gt;""</formula>
    </cfRule>
  </conditionalFormatting>
  <conditionalFormatting sqref="B1321:E1324">
    <cfRule type="expression" dxfId="63" priority="54" stopIfTrue="1">
      <formula>$A1321&lt;&gt;""</formula>
    </cfRule>
  </conditionalFormatting>
  <conditionalFormatting sqref="B1326:E1328">
    <cfRule type="expression" dxfId="62" priority="259" stopIfTrue="1">
      <formula>$A1326&lt;&gt;""</formula>
    </cfRule>
  </conditionalFormatting>
  <conditionalFormatting sqref="B1330:E1340">
    <cfRule type="expression" dxfId="61" priority="78" stopIfTrue="1">
      <formula>$A1330&lt;&gt;""</formula>
    </cfRule>
  </conditionalFormatting>
  <conditionalFormatting sqref="B1354:E1365">
    <cfRule type="expression" dxfId="60" priority="116" stopIfTrue="1">
      <formula>$A1354&lt;&gt;""</formula>
    </cfRule>
  </conditionalFormatting>
  <conditionalFormatting sqref="B1373:E1411">
    <cfRule type="expression" dxfId="59" priority="153" stopIfTrue="1">
      <formula>$A1373&lt;&gt;""</formula>
    </cfRule>
  </conditionalFormatting>
  <conditionalFormatting sqref="B1414:E1419">
    <cfRule type="expression" dxfId="58" priority="223" stopIfTrue="1">
      <formula>$A1414&lt;&gt;""</formula>
    </cfRule>
  </conditionalFormatting>
  <conditionalFormatting sqref="B450:G450">
    <cfRule type="expression" dxfId="57" priority="173" stopIfTrue="1">
      <formula>$A450&lt;&gt;""</formula>
    </cfRule>
  </conditionalFormatting>
  <conditionalFormatting sqref="B439:H444">
    <cfRule type="expression" dxfId="56" priority="193" stopIfTrue="1">
      <formula>$A439&lt;&gt;""</formula>
    </cfRule>
  </conditionalFormatting>
  <conditionalFormatting sqref="B451:H457">
    <cfRule type="expression" dxfId="55" priority="149" stopIfTrue="1">
      <formula>$A451&lt;&gt;""</formula>
    </cfRule>
  </conditionalFormatting>
  <conditionalFormatting sqref="B1028:H1043">
    <cfRule type="expression" dxfId="54" priority="219" stopIfTrue="1">
      <formula>$A1028&lt;&gt;""</formula>
    </cfRule>
  </conditionalFormatting>
  <conditionalFormatting sqref="B1233:H1235 B1236:E1249 H1236:H1249">
    <cfRule type="expression" dxfId="53" priority="148" stopIfTrue="1">
      <formula>$A1233&lt;&gt;""</formula>
    </cfRule>
  </conditionalFormatting>
  <conditionalFormatting sqref="B1251:H1253">
    <cfRule type="expression" dxfId="52" priority="43" stopIfTrue="1">
      <formula>$A1251&lt;&gt;""</formula>
    </cfRule>
  </conditionalFormatting>
  <conditionalFormatting sqref="B1325:H1325">
    <cfRule type="expression" dxfId="51" priority="289" stopIfTrue="1">
      <formula>$A1325&lt;&gt;""</formula>
    </cfRule>
  </conditionalFormatting>
  <conditionalFormatting sqref="B1341:H1346">
    <cfRule type="expression" dxfId="50" priority="17" stopIfTrue="1">
      <formula>$A1341&lt;&gt;""</formula>
    </cfRule>
  </conditionalFormatting>
  <conditionalFormatting sqref="B1371:H1372">
    <cfRule type="expression" dxfId="49" priority="196" stopIfTrue="1">
      <formula>$A1371&lt;&gt;""</formula>
    </cfRule>
  </conditionalFormatting>
  <conditionalFormatting sqref="B203:I203 B204:E236">
    <cfRule type="expression" dxfId="48" priority="260" stopIfTrue="1">
      <formula>$A203&lt;&gt;""</formula>
    </cfRule>
  </conditionalFormatting>
  <conditionalFormatting sqref="B237:I281">
    <cfRule type="expression" dxfId="47" priority="93" stopIfTrue="1">
      <formula>$A237&lt;&gt;""</formula>
    </cfRule>
  </conditionalFormatting>
  <conditionalFormatting sqref="B458:I460">
    <cfRule type="expression" dxfId="46" priority="95" stopIfTrue="1">
      <formula>$A458&lt;&gt;""</formula>
    </cfRule>
  </conditionalFormatting>
  <conditionalFormatting sqref="B606:I649">
    <cfRule type="expression" dxfId="45" priority="256" stopIfTrue="1">
      <formula>$A606&lt;&gt;""</formula>
    </cfRule>
  </conditionalFormatting>
  <conditionalFormatting sqref="B651:I651">
    <cfRule type="expression" dxfId="44" priority="22" stopIfTrue="1">
      <formula>$A651&lt;&gt;""</formula>
    </cfRule>
  </conditionalFormatting>
  <conditionalFormatting sqref="B1098:I1098">
    <cfRule type="expression" dxfId="43" priority="147" stopIfTrue="1">
      <formula>$A1098&lt;&gt;""</formula>
    </cfRule>
  </conditionalFormatting>
  <conditionalFormatting sqref="B1110:I1112">
    <cfRule type="expression" dxfId="42" priority="16" stopIfTrue="1">
      <formula>$A1110&lt;&gt;""</formula>
    </cfRule>
  </conditionalFormatting>
  <conditionalFormatting sqref="B1114:I1118">
    <cfRule type="expression" dxfId="41" priority="18" stopIfTrue="1">
      <formula>$A1114&lt;&gt;""</formula>
    </cfRule>
  </conditionalFormatting>
  <conditionalFormatting sqref="B1232:I1232 I1233:I1249">
    <cfRule type="expression" dxfId="40" priority="151" stopIfTrue="1">
      <formula>$A1232&lt;&gt;""</formula>
    </cfRule>
  </conditionalFormatting>
  <conditionalFormatting sqref="B1329:I1329">
    <cfRule type="expression" dxfId="39" priority="146" stopIfTrue="1">
      <formula>$A1329&lt;&gt;""</formula>
    </cfRule>
  </conditionalFormatting>
  <conditionalFormatting sqref="B136:J164">
    <cfRule type="expression" dxfId="38" priority="69" stopIfTrue="1">
      <formula>$A136&lt;&gt;""</formula>
    </cfRule>
  </conditionalFormatting>
  <conditionalFormatting sqref="B321:J381">
    <cfRule type="expression" dxfId="37" priority="261" stopIfTrue="1">
      <formula>$A321&lt;&gt;""</formula>
    </cfRule>
  </conditionalFormatting>
  <conditionalFormatting sqref="B418:J419">
    <cfRule type="expression" dxfId="36" priority="222" stopIfTrue="1">
      <formula>$A418&lt;&gt;""</formula>
    </cfRule>
  </conditionalFormatting>
  <conditionalFormatting sqref="B560:J586">
    <cfRule type="expression" dxfId="35" priority="2" stopIfTrue="1">
      <formula>$A560&lt;&gt;""</formula>
    </cfRule>
  </conditionalFormatting>
  <conditionalFormatting sqref="B1014:J1015">
    <cfRule type="expression" dxfId="34" priority="217" stopIfTrue="1">
      <formula>$A1014&lt;&gt;""</formula>
    </cfRule>
  </conditionalFormatting>
  <conditionalFormatting sqref="B1088:J1091">
    <cfRule type="expression" dxfId="33" priority="7" stopIfTrue="1">
      <formula>$A1088&lt;&gt;""</formula>
    </cfRule>
  </conditionalFormatting>
  <conditionalFormatting sqref="B1119:J1213">
    <cfRule type="expression" dxfId="32" priority="33" stopIfTrue="1">
      <formula>$A1119&lt;&gt;""</formula>
    </cfRule>
  </conditionalFormatting>
  <conditionalFormatting sqref="B1367:J1367">
    <cfRule type="expression" dxfId="31" priority="198" stopIfTrue="1">
      <formula>$A1367&lt;&gt;""</formula>
    </cfRule>
  </conditionalFormatting>
  <conditionalFormatting sqref="B1422:J4335">
    <cfRule type="expression" dxfId="30" priority="42" stopIfTrue="1">
      <formula>$A1422&lt;&gt;""</formula>
    </cfRule>
  </conditionalFormatting>
  <conditionalFormatting sqref="F433:H434">
    <cfRule type="expression" dxfId="29" priority="139" stopIfTrue="1">
      <formula>$A433&lt;&gt;""</formula>
    </cfRule>
  </conditionalFormatting>
  <conditionalFormatting sqref="F437:H438">
    <cfRule type="expression" dxfId="28" priority="229" stopIfTrue="1">
      <formula>$A437&lt;&gt;""</formula>
    </cfRule>
  </conditionalFormatting>
  <conditionalFormatting sqref="F445:H447 H448:H450">
    <cfRule type="expression" dxfId="27" priority="171" stopIfTrue="1">
      <formula>$A445&lt;&gt;""</formula>
    </cfRule>
  </conditionalFormatting>
  <conditionalFormatting sqref="F1092:H1092">
    <cfRule type="expression" dxfId="26" priority="280" stopIfTrue="1">
      <formula>$A1092&lt;&gt;""</formula>
    </cfRule>
  </conditionalFormatting>
  <conditionalFormatting sqref="F1216:H1221">
    <cfRule type="expression" dxfId="25" priority="122" stopIfTrue="1">
      <formula>$A1216&lt;&gt;""</formula>
    </cfRule>
  </conditionalFormatting>
  <conditionalFormatting sqref="F208:I208">
    <cfRule type="expression" dxfId="24" priority="150" stopIfTrue="1">
      <formula>$A208&lt;&gt;""</formula>
    </cfRule>
  </conditionalFormatting>
  <conditionalFormatting sqref="I189:J189 F190:J202 J203:J281 F210:I236 B431:I432 J431:J460 J606:J664 B661:I661 B663:I664 B772:E772 H772:J772 H780:J780 B787:E787 H787:J787 I1016:J1043 B1072:H1072 I1072:J1087 H1075:H1087 B1076:G1087 I1092:J1097 F1214:H1214 B1222:H1231 J1232:J1249 B1263:H1263 B1288:H1320 I1325:J1328 J1329:J1346 F1374:H1408 F1409:J1411 B1412:H1413">
    <cfRule type="expression" dxfId="23" priority="290" stopIfTrue="1">
      <formula>$A189&lt;&gt;""</formula>
    </cfRule>
  </conditionalFormatting>
  <conditionalFormatting sqref="H435:H436">
    <cfRule type="expression" dxfId="22" priority="143" stopIfTrue="1">
      <formula>$A435&lt;&gt;""</formula>
    </cfRule>
  </conditionalFormatting>
  <conditionalFormatting sqref="H1093:H1097">
    <cfRule type="expression" dxfId="21" priority="181" stopIfTrue="1">
      <formula>$A1093&lt;&gt;""</formula>
    </cfRule>
  </conditionalFormatting>
  <conditionalFormatting sqref="H1215">
    <cfRule type="expression" dxfId="20" priority="192" stopIfTrue="1">
      <formula>$A1215&lt;&gt;""</formula>
    </cfRule>
  </conditionalFormatting>
  <conditionalFormatting sqref="H1254:H1262">
    <cfRule type="expression" dxfId="19" priority="160" stopIfTrue="1">
      <formula>$A1254&lt;&gt;""</formula>
    </cfRule>
  </conditionalFormatting>
  <conditionalFormatting sqref="H1264:H1287">
    <cfRule type="expression" dxfId="18" priority="39" stopIfTrue="1">
      <formula>$A1264&lt;&gt;""</formula>
    </cfRule>
  </conditionalFormatting>
  <conditionalFormatting sqref="H1326:H1328">
    <cfRule type="expression" dxfId="17" priority="258" stopIfTrue="1">
      <formula>$A1326&lt;&gt;""</formula>
    </cfRule>
  </conditionalFormatting>
  <conditionalFormatting sqref="H1330:H1340">
    <cfRule type="expression" dxfId="16" priority="19" stopIfTrue="1">
      <formula>$A1330&lt;&gt;""</formula>
    </cfRule>
  </conditionalFormatting>
  <conditionalFormatting sqref="H1373">
    <cfRule type="expression" dxfId="15" priority="155" stopIfTrue="1">
      <formula>$A1373&lt;&gt;""</formula>
    </cfRule>
  </conditionalFormatting>
  <conditionalFormatting sqref="H1414:H1419">
    <cfRule type="expression" dxfId="14" priority="225" stopIfTrue="1">
      <formula>$A1414&lt;&gt;""</formula>
    </cfRule>
  </conditionalFormatting>
  <conditionalFormatting sqref="H204:I207">
    <cfRule type="expression" dxfId="13" priority="249" stopIfTrue="1">
      <formula>$A204&lt;&gt;""</formula>
    </cfRule>
  </conditionalFormatting>
  <conditionalFormatting sqref="H209:I209">
    <cfRule type="expression" dxfId="12" priority="125" stopIfTrue="1">
      <formula>$A209&lt;&gt;""</formula>
    </cfRule>
  </conditionalFormatting>
  <conditionalFormatting sqref="H650:I650">
    <cfRule type="expression" dxfId="11" priority="66" stopIfTrue="1">
      <formula>$A650&lt;&gt;""</formula>
    </cfRule>
  </conditionalFormatting>
  <conditionalFormatting sqref="H1099:I1109">
    <cfRule type="expression" dxfId="10" priority="50" stopIfTrue="1">
      <formula>$A1099&lt;&gt;""</formula>
    </cfRule>
  </conditionalFormatting>
  <conditionalFormatting sqref="H1113:I1113">
    <cfRule type="expression" dxfId="9" priority="76" stopIfTrue="1">
      <formula>$A1113&lt;&gt;""</formula>
    </cfRule>
  </conditionalFormatting>
  <conditionalFormatting sqref="H1071:J1071">
    <cfRule type="expression" dxfId="8" priority="132" stopIfTrue="1">
      <formula>$A1071&lt;&gt;""</formula>
    </cfRule>
  </conditionalFormatting>
  <conditionalFormatting sqref="H1321:J1324">
    <cfRule type="expression" dxfId="7" priority="55" stopIfTrue="1">
      <formula>$A1321&lt;&gt;""</formula>
    </cfRule>
  </conditionalFormatting>
  <conditionalFormatting sqref="H1354:J1365">
    <cfRule type="expression" dxfId="6" priority="14" stopIfTrue="1">
      <formula>$A1354&lt;&gt;""</formula>
    </cfRule>
  </conditionalFormatting>
  <conditionalFormatting sqref="I433:I457">
    <cfRule type="expression" dxfId="5" priority="140" stopIfTrue="1">
      <formula>$A433&lt;&gt;""</formula>
    </cfRule>
  </conditionalFormatting>
  <conditionalFormatting sqref="I1330:I1346">
    <cfRule type="expression" dxfId="4" priority="82" stopIfTrue="1">
      <formula>$A1330&lt;&gt;""</formula>
    </cfRule>
  </conditionalFormatting>
  <conditionalFormatting sqref="I1251:J1320">
    <cfRule type="expression" dxfId="3" priority="162" stopIfTrue="1">
      <formula>$A1251&lt;&gt;""</formula>
    </cfRule>
  </conditionalFormatting>
  <conditionalFormatting sqref="I1371:J1408">
    <cfRule type="expression" dxfId="2" priority="157" stopIfTrue="1">
      <formula>$A1371&lt;&gt;""</formula>
    </cfRule>
  </conditionalFormatting>
  <conditionalFormatting sqref="I1412:J1419">
    <cfRule type="expression" dxfId="1" priority="255" stopIfTrue="1">
      <formula>$A1412&lt;&gt;""</formula>
    </cfRule>
  </conditionalFormatting>
  <conditionalFormatting sqref="J1098:J1118">
    <cfRule type="expression" dxfId="0" priority="282" stopIfTrue="1">
      <formula>$A1098&lt;&gt;""</formula>
    </cfRule>
  </conditionalFormatting>
  <dataValidations count="5">
    <dataValidation type="date" allowBlank="1" showInputMessage="1" showErrorMessage="1" sqref="D102:E102 D4962:E65497 D106:E106" xr:uid="{F5059AEA-A0D8-4B20-9D3C-8B76D9C427E6}">
      <formula1>42370</formula1>
      <formula2>42735</formula2>
    </dataValidation>
    <dataValidation type="list" allowBlank="1" sqref="F107:F112 F114:F168 F170:F4961" xr:uid="{255B499D-B3E6-47A9-A857-DBFE56F071D9}">
      <formula1>$F$96:$F$99</formula1>
    </dataValidation>
    <dataValidation allowBlank="1" sqref="F169 G107:G112 G114:G127 F113 G129:G4961" xr:uid="{B36265DD-F5DD-4F0A-AD93-4A0388363C0B}"/>
    <dataValidation type="list" allowBlank="1" showInputMessage="1" showErrorMessage="1" errorTitle="Chyba !" error="zadajte (vyberte zo zoznamu) platný analytický kód podľa nápovedy k bunke I104" sqref="I113 J107:J9961" xr:uid="{071F420F-A599-4F3D-AF2C-7259B8CAF30B}">
      <formula1>"1,2,3,4,5,10,99"</formula1>
    </dataValidation>
    <dataValidation type="list" allowBlank="1" showInputMessage="1" showErrorMessage="1" sqref="A107:A4961" xr:uid="{540C0DA9-E9CD-4805-B659-E67C1C32B21C}">
      <formula1>OFFSET($A$1,0,0,$B$3,1)</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30.6"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0.399999999999999"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0.399999999999999"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399999999999999"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399999999999999"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399999999999999"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399999999999999"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0.399999999999999"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399999999999999"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6"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399999999999999"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399999999999999"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399999999999999"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1036</v>
      </c>
      <c r="B1" s="2"/>
      <c r="C1" s="2" t="s">
        <v>336</v>
      </c>
      <c r="D1" s="2" t="s">
        <v>1203</v>
      </c>
      <c r="E1" s="2" t="s">
        <v>1204</v>
      </c>
      <c r="F1" s="2" t="s">
        <v>315</v>
      </c>
      <c r="G1" s="2" t="s">
        <v>1205</v>
      </c>
      <c r="H1" s="2"/>
      <c r="I1" s="2" t="s">
        <v>315</v>
      </c>
      <c r="J1" s="2" t="s">
        <v>1206</v>
      </c>
      <c r="K1" s="2"/>
      <c r="L1" s="2"/>
      <c r="M1" s="2"/>
      <c r="N1" s="2"/>
    </row>
    <row r="2" spans="1:14" x14ac:dyDescent="0.25">
      <c r="A2" t="s">
        <v>1207</v>
      </c>
      <c r="C2" t="s">
        <v>339</v>
      </c>
      <c r="D2" t="s">
        <v>1208</v>
      </c>
      <c r="E2">
        <v>1</v>
      </c>
      <c r="F2" t="s">
        <v>319</v>
      </c>
      <c r="G2" t="s">
        <v>1209</v>
      </c>
      <c r="I2" t="s">
        <v>317</v>
      </c>
      <c r="J2" t="s">
        <v>1210</v>
      </c>
    </row>
    <row r="3" spans="1:14" x14ac:dyDescent="0.25">
      <c r="A3" t="s">
        <v>1042</v>
      </c>
      <c r="C3" t="s">
        <v>341</v>
      </c>
      <c r="D3" t="s">
        <v>1211</v>
      </c>
      <c r="E3">
        <v>1</v>
      </c>
      <c r="F3" t="s">
        <v>319</v>
      </c>
      <c r="G3" t="s">
        <v>1209</v>
      </c>
      <c r="I3" t="s">
        <v>319</v>
      </c>
      <c r="J3" t="s">
        <v>320</v>
      </c>
    </row>
    <row r="4" spans="1:14" x14ac:dyDescent="0.25">
      <c r="A4" t="s">
        <v>1107</v>
      </c>
      <c r="C4" t="s">
        <v>343</v>
      </c>
      <c r="D4" t="s">
        <v>1212</v>
      </c>
      <c r="E4">
        <v>1</v>
      </c>
      <c r="F4" t="s">
        <v>319</v>
      </c>
      <c r="G4" t="s">
        <v>1209</v>
      </c>
      <c r="I4" t="s">
        <v>321</v>
      </c>
      <c r="J4" t="s">
        <v>322</v>
      </c>
    </row>
    <row r="5" spans="1:14" x14ac:dyDescent="0.25">
      <c r="A5" t="s">
        <v>1062</v>
      </c>
      <c r="C5" t="s">
        <v>345</v>
      </c>
      <c r="D5" t="s">
        <v>1213</v>
      </c>
      <c r="E5">
        <v>1</v>
      </c>
      <c r="F5" t="s">
        <v>319</v>
      </c>
      <c r="G5" t="s">
        <v>1209</v>
      </c>
      <c r="I5" t="s">
        <v>323</v>
      </c>
      <c r="J5" t="s">
        <v>324</v>
      </c>
    </row>
    <row r="6" spans="1:14" x14ac:dyDescent="0.25">
      <c r="A6" t="s">
        <v>1214</v>
      </c>
      <c r="C6" t="s">
        <v>347</v>
      </c>
      <c r="D6" t="s">
        <v>1215</v>
      </c>
      <c r="E6">
        <v>1</v>
      </c>
      <c r="F6" t="s">
        <v>319</v>
      </c>
      <c r="G6" t="s">
        <v>1209</v>
      </c>
      <c r="I6" t="s">
        <v>325</v>
      </c>
      <c r="J6" t="s">
        <v>1216</v>
      </c>
    </row>
    <row r="7" spans="1:14" x14ac:dyDescent="0.25">
      <c r="A7" t="s">
        <v>1217</v>
      </c>
      <c r="C7" t="s">
        <v>349</v>
      </c>
      <c r="D7" t="s">
        <v>1218</v>
      </c>
      <c r="E7">
        <v>2</v>
      </c>
      <c r="F7" t="s">
        <v>321</v>
      </c>
      <c r="G7" t="s">
        <v>1219</v>
      </c>
    </row>
    <row r="8" spans="1:14" x14ac:dyDescent="0.25">
      <c r="A8" t="s">
        <v>1071</v>
      </c>
      <c r="C8" t="s">
        <v>351</v>
      </c>
      <c r="D8" t="s">
        <v>1220</v>
      </c>
      <c r="E8">
        <v>3</v>
      </c>
      <c r="F8" t="s">
        <v>321</v>
      </c>
      <c r="G8" t="s">
        <v>1221</v>
      </c>
    </row>
    <row r="9" spans="1:14" x14ac:dyDescent="0.25">
      <c r="A9" t="s">
        <v>1222</v>
      </c>
      <c r="C9" t="s">
        <v>353</v>
      </c>
      <c r="D9" t="s">
        <v>1223</v>
      </c>
      <c r="E9">
        <v>3</v>
      </c>
      <c r="F9" t="s">
        <v>321</v>
      </c>
      <c r="G9" t="s">
        <v>1224</v>
      </c>
    </row>
    <row r="10" spans="1:14" x14ac:dyDescent="0.25">
      <c r="A10" t="s">
        <v>1146</v>
      </c>
      <c r="C10" t="s">
        <v>355</v>
      </c>
      <c r="D10" t="s">
        <v>1225</v>
      </c>
      <c r="E10">
        <v>4</v>
      </c>
      <c r="F10" t="s">
        <v>321</v>
      </c>
      <c r="G10" t="s">
        <v>1226</v>
      </c>
    </row>
    <row r="11" spans="1:14" x14ac:dyDescent="0.25">
      <c r="A11" t="s">
        <v>1148</v>
      </c>
      <c r="C11" t="s">
        <v>356</v>
      </c>
      <c r="D11" t="s">
        <v>1227</v>
      </c>
      <c r="E11">
        <v>4</v>
      </c>
      <c r="F11" t="s">
        <v>317</v>
      </c>
      <c r="G11" t="s">
        <v>1226</v>
      </c>
    </row>
    <row r="12" spans="1:14" x14ac:dyDescent="0.25">
      <c r="A12" t="s">
        <v>1109</v>
      </c>
      <c r="C12" t="s">
        <v>358</v>
      </c>
      <c r="D12" t="s">
        <v>1228</v>
      </c>
      <c r="E12">
        <v>4</v>
      </c>
      <c r="F12" t="s">
        <v>317</v>
      </c>
      <c r="G12" t="s">
        <v>1226</v>
      </c>
    </row>
    <row r="13" spans="1:14" x14ac:dyDescent="0.25">
      <c r="A13" t="s">
        <v>1150</v>
      </c>
      <c r="C13" t="s">
        <v>360</v>
      </c>
      <c r="D13" t="s">
        <v>1229</v>
      </c>
      <c r="E13">
        <v>4</v>
      </c>
      <c r="F13" t="s">
        <v>325</v>
      </c>
      <c r="G13" t="s">
        <v>1226</v>
      </c>
    </row>
    <row r="14" spans="1:14" x14ac:dyDescent="0.25">
      <c r="A14" t="s">
        <v>1044</v>
      </c>
      <c r="C14" t="s">
        <v>362</v>
      </c>
      <c r="D14" t="s">
        <v>1230</v>
      </c>
      <c r="E14">
        <v>4</v>
      </c>
      <c r="F14" t="s">
        <v>321</v>
      </c>
      <c r="G14" t="s">
        <v>1226</v>
      </c>
    </row>
    <row r="15" spans="1:14" x14ac:dyDescent="0.25">
      <c r="A15" t="s">
        <v>1046</v>
      </c>
      <c r="C15" t="s">
        <v>364</v>
      </c>
    </row>
    <row r="16" spans="1:14" x14ac:dyDescent="0.25">
      <c r="A16" t="s">
        <v>1111</v>
      </c>
      <c r="C16" t="s">
        <v>365</v>
      </c>
    </row>
    <row r="17" spans="1:3" x14ac:dyDescent="0.25">
      <c r="A17" t="s">
        <v>1073</v>
      </c>
      <c r="C17" t="s">
        <v>366</v>
      </c>
    </row>
    <row r="18" spans="1:3" x14ac:dyDescent="0.25">
      <c r="A18" t="s">
        <v>1113</v>
      </c>
      <c r="C18" t="s">
        <v>367</v>
      </c>
    </row>
    <row r="19" spans="1:3" x14ac:dyDescent="0.25">
      <c r="A19" t="s">
        <v>1115</v>
      </c>
      <c r="C19" t="s">
        <v>368</v>
      </c>
    </row>
    <row r="20" spans="1:3" x14ac:dyDescent="0.25">
      <c r="A20" t="s">
        <v>1152</v>
      </c>
      <c r="C20" t="s">
        <v>1231</v>
      </c>
    </row>
    <row r="21" spans="1:3" x14ac:dyDescent="0.25">
      <c r="A21" t="s">
        <v>1232</v>
      </c>
      <c r="C21" t="s">
        <v>1233</v>
      </c>
    </row>
    <row r="22" spans="1:3" x14ac:dyDescent="0.25">
      <c r="A22" t="s">
        <v>1234</v>
      </c>
      <c r="C22" t="s">
        <v>1235</v>
      </c>
    </row>
    <row r="23" spans="1:3" x14ac:dyDescent="0.25">
      <c r="A23" t="s">
        <v>1154</v>
      </c>
      <c r="C23" t="s">
        <v>1236</v>
      </c>
    </row>
    <row r="24" spans="1:3" x14ac:dyDescent="0.25">
      <c r="A24" t="s">
        <v>1237</v>
      </c>
      <c r="C24" t="s">
        <v>1238</v>
      </c>
    </row>
    <row r="25" spans="1:3" x14ac:dyDescent="0.25">
      <c r="A25" t="s">
        <v>1156</v>
      </c>
      <c r="C25" t="s">
        <v>1239</v>
      </c>
    </row>
    <row r="26" spans="1:3" x14ac:dyDescent="0.25">
      <c r="A26" t="s">
        <v>1117</v>
      </c>
      <c r="C26" t="s">
        <v>1240</v>
      </c>
    </row>
    <row r="27" spans="1:3" x14ac:dyDescent="0.25">
      <c r="A27" t="s">
        <v>1058</v>
      </c>
      <c r="C27" t="s">
        <v>1241</v>
      </c>
    </row>
    <row r="28" spans="1:3" x14ac:dyDescent="0.25">
      <c r="A28" t="s">
        <v>1077</v>
      </c>
    </row>
    <row r="29" spans="1:3" x14ac:dyDescent="0.25">
      <c r="A29" t="s">
        <v>1079</v>
      </c>
    </row>
    <row r="30" spans="1:3" x14ac:dyDescent="0.25">
      <c r="A30" t="s">
        <v>1158</v>
      </c>
    </row>
    <row r="31" spans="1:3" x14ac:dyDescent="0.25">
      <c r="A31" t="s">
        <v>1119</v>
      </c>
    </row>
    <row r="32" spans="1:3" x14ac:dyDescent="0.25">
      <c r="A32" t="s">
        <v>1160</v>
      </c>
    </row>
    <row r="33" spans="1:1" x14ac:dyDescent="0.25">
      <c r="A33" t="s">
        <v>1083</v>
      </c>
    </row>
    <row r="34" spans="1:1" x14ac:dyDescent="0.25">
      <c r="A34" t="s">
        <v>1162</v>
      </c>
    </row>
    <row r="35" spans="1:1" x14ac:dyDescent="0.25">
      <c r="A35" t="s">
        <v>1182</v>
      </c>
    </row>
    <row r="36" spans="1:1" x14ac:dyDescent="0.25">
      <c r="A36" t="s">
        <v>1085</v>
      </c>
    </row>
    <row r="37" spans="1:1" x14ac:dyDescent="0.25">
      <c r="A37" t="s">
        <v>1164</v>
      </c>
    </row>
    <row r="38" spans="1:1" x14ac:dyDescent="0.25">
      <c r="A38" t="s">
        <v>1242</v>
      </c>
    </row>
    <row r="39" spans="1:1" x14ac:dyDescent="0.25">
      <c r="A39" t="s">
        <v>1166</v>
      </c>
    </row>
    <row r="40" spans="1:1" x14ac:dyDescent="0.25">
      <c r="A40" t="s">
        <v>1200</v>
      </c>
    </row>
    <row r="41" spans="1:1" x14ac:dyDescent="0.25">
      <c r="A41" t="s">
        <v>1060</v>
      </c>
    </row>
    <row r="42" spans="1:1" x14ac:dyDescent="0.25">
      <c r="A42" t="s">
        <v>1123</v>
      </c>
    </row>
    <row r="43" spans="1:1" x14ac:dyDescent="0.25">
      <c r="A43" t="s">
        <v>1243</v>
      </c>
    </row>
    <row r="44" spans="1:1" x14ac:dyDescent="0.25">
      <c r="A44" t="s">
        <v>1244</v>
      </c>
    </row>
    <row r="45" spans="1:1" x14ac:dyDescent="0.25">
      <c r="A45" t="s">
        <v>1245</v>
      </c>
    </row>
    <row r="46" spans="1:1" x14ac:dyDescent="0.25">
      <c r="A46" t="s">
        <v>1168</v>
      </c>
    </row>
    <row r="47" spans="1:1" x14ac:dyDescent="0.25">
      <c r="A47" t="s">
        <v>1087</v>
      </c>
    </row>
    <row r="48" spans="1:1" x14ac:dyDescent="0.25">
      <c r="A48" t="s">
        <v>1127</v>
      </c>
    </row>
    <row r="49" spans="1:1" x14ac:dyDescent="0.25">
      <c r="A49" t="s">
        <v>1125</v>
      </c>
    </row>
    <row r="50" spans="1:1" x14ac:dyDescent="0.25">
      <c r="A50" t="s">
        <v>1202</v>
      </c>
    </row>
    <row r="51" spans="1:1" x14ac:dyDescent="0.25">
      <c r="A51" t="s">
        <v>1170</v>
      </c>
    </row>
    <row r="52" spans="1:1" x14ac:dyDescent="0.25">
      <c r="A52" t="s">
        <v>1089</v>
      </c>
    </row>
    <row r="53" spans="1:1" x14ac:dyDescent="0.25">
      <c r="A53" t="s">
        <v>1246</v>
      </c>
    </row>
    <row r="54" spans="1:1" x14ac:dyDescent="0.25">
      <c r="A54" t="s">
        <v>1172</v>
      </c>
    </row>
    <row r="55" spans="1:1" x14ac:dyDescent="0.25">
      <c r="A55" t="s">
        <v>1247</v>
      </c>
    </row>
    <row r="56" spans="1:1" x14ac:dyDescent="0.25">
      <c r="A56" t="s">
        <v>1093</v>
      </c>
    </row>
    <row r="57" spans="1:1" x14ac:dyDescent="0.25">
      <c r="A57" t="s">
        <v>1248</v>
      </c>
    </row>
    <row r="58" spans="1:1" x14ac:dyDescent="0.25">
      <c r="A58" t="s">
        <v>1198</v>
      </c>
    </row>
    <row r="59" spans="1:1" x14ac:dyDescent="0.25">
      <c r="A59" t="s">
        <v>1249</v>
      </c>
    </row>
    <row r="60" spans="1:1" x14ac:dyDescent="0.25">
      <c r="A60" t="s">
        <v>1174</v>
      </c>
    </row>
    <row r="61" spans="1:1" x14ac:dyDescent="0.25">
      <c r="A61" t="s">
        <v>1250</v>
      </c>
    </row>
    <row r="62" spans="1:1" x14ac:dyDescent="0.25">
      <c r="A62" t="s">
        <v>1176</v>
      </c>
    </row>
    <row r="63" spans="1:1" x14ac:dyDescent="0.25">
      <c r="A63" t="s">
        <v>1251</v>
      </c>
    </row>
    <row r="64" spans="1:1" x14ac:dyDescent="0.25">
      <c r="A64" t="s">
        <v>1095</v>
      </c>
    </row>
    <row r="65" spans="1:1" x14ac:dyDescent="0.25">
      <c r="A65" t="s">
        <v>1178</v>
      </c>
    </row>
    <row r="66" spans="1:1" x14ac:dyDescent="0.25">
      <c r="A66" t="s">
        <v>1130</v>
      </c>
    </row>
    <row r="67" spans="1:1" x14ac:dyDescent="0.25">
      <c r="A67" t="s">
        <v>1252</v>
      </c>
    </row>
    <row r="68" spans="1:1" x14ac:dyDescent="0.25">
      <c r="A68" t="s">
        <v>1180</v>
      </c>
    </row>
    <row r="69" spans="1:1" x14ac:dyDescent="0.25">
      <c r="A69" t="s">
        <v>1253</v>
      </c>
    </row>
    <row r="70" spans="1:1" x14ac:dyDescent="0.25">
      <c r="A70" t="s">
        <v>1254</v>
      </c>
    </row>
    <row r="71" spans="1:1" x14ac:dyDescent="0.25">
      <c r="A71" t="s">
        <v>1054</v>
      </c>
    </row>
    <row r="72" spans="1:1" x14ac:dyDescent="0.25">
      <c r="A72" t="s">
        <v>1097</v>
      </c>
    </row>
    <row r="73" spans="1:1" x14ac:dyDescent="0.25">
      <c r="A73" t="s">
        <v>1255</v>
      </c>
    </row>
    <row r="74" spans="1:1" x14ac:dyDescent="0.25">
      <c r="A74" t="s">
        <v>1099</v>
      </c>
    </row>
    <row r="75" spans="1:1" x14ac:dyDescent="0.25">
      <c r="A75" t="s">
        <v>1101</v>
      </c>
    </row>
    <row r="76" spans="1:1" x14ac:dyDescent="0.25">
      <c r="A76" t="s">
        <v>1132</v>
      </c>
    </row>
    <row r="77" spans="1:1" x14ac:dyDescent="0.25">
      <c r="A77" t="s">
        <v>1134</v>
      </c>
    </row>
    <row r="78" spans="1:1" x14ac:dyDescent="0.25">
      <c r="A78" t="s">
        <v>1256</v>
      </c>
    </row>
    <row r="79" spans="1:1" x14ac:dyDescent="0.25">
      <c r="A79" t="s">
        <v>1257</v>
      </c>
    </row>
    <row r="80" spans="1:1" x14ac:dyDescent="0.25">
      <c r="A80" t="s">
        <v>1136</v>
      </c>
    </row>
    <row r="81" spans="1:1" x14ac:dyDescent="0.25">
      <c r="A81" t="s">
        <v>1138</v>
      </c>
    </row>
    <row r="82" spans="1:1" x14ac:dyDescent="0.25">
      <c r="A82" t="s">
        <v>1196</v>
      </c>
    </row>
    <row r="83" spans="1:1" x14ac:dyDescent="0.25">
      <c r="A83" t="s">
        <v>1258</v>
      </c>
    </row>
    <row r="84" spans="1:1" x14ac:dyDescent="0.25">
      <c r="A84" t="s">
        <v>1184</v>
      </c>
    </row>
    <row r="85" spans="1:1" x14ac:dyDescent="0.25">
      <c r="A85" t="s">
        <v>1056</v>
      </c>
    </row>
    <row r="86" spans="1:1" x14ac:dyDescent="0.25">
      <c r="A86" t="s">
        <v>1067</v>
      </c>
    </row>
    <row r="87" spans="1:1" x14ac:dyDescent="0.25">
      <c r="A87" t="s">
        <v>1186</v>
      </c>
    </row>
    <row r="88" spans="1:1" x14ac:dyDescent="0.25">
      <c r="A88" t="s">
        <v>1140</v>
      </c>
    </row>
    <row r="89" spans="1:1" x14ac:dyDescent="0.25">
      <c r="A89" t="s">
        <v>1091</v>
      </c>
    </row>
    <row r="90" spans="1:1" x14ac:dyDescent="0.25">
      <c r="A90" t="s">
        <v>1103</v>
      </c>
    </row>
    <row r="91" spans="1:1" x14ac:dyDescent="0.25">
      <c r="A91" t="s">
        <v>1142</v>
      </c>
    </row>
    <row r="92" spans="1:1" x14ac:dyDescent="0.25">
      <c r="A92" t="s">
        <v>1188</v>
      </c>
    </row>
    <row r="93" spans="1:1" x14ac:dyDescent="0.25">
      <c r="A93" t="s">
        <v>1259</v>
      </c>
    </row>
    <row r="94" spans="1:1" x14ac:dyDescent="0.25">
      <c r="A94" t="s">
        <v>1190</v>
      </c>
    </row>
    <row r="95" spans="1:1" x14ac:dyDescent="0.25">
      <c r="A95" t="s">
        <v>1105</v>
      </c>
    </row>
    <row r="96" spans="1:1" x14ac:dyDescent="0.25">
      <c r="A96" t="s">
        <v>1192</v>
      </c>
    </row>
    <row r="97" spans="1:1" x14ac:dyDescent="0.25">
      <c r="A97" t="s">
        <v>1048</v>
      </c>
    </row>
    <row r="98" spans="1:1" x14ac:dyDescent="0.25">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8" t="str">
        <f>Spolu!C3&amp;", "&amp;Spolu!C6</f>
        <v>Slovenská asociácia čínskeho wushu, Ladislava Dérera 35, Bratislava, 831 01</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1260</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1261</v>
      </c>
      <c r="N5" s="137" t="str">
        <f t="shared" si="0"/>
        <v>e - rozvoj športov, ktoré nie sú uznanými podľa zákona č. 440/2015 Z. z.</v>
      </c>
      <c r="O5" s="137" t="s">
        <v>347</v>
      </c>
      <c r="P5" s="137" t="s">
        <v>352</v>
      </c>
    </row>
    <row r="6" spans="1:16" ht="30" x14ac:dyDescent="0.25">
      <c r="C6" s="138" t="s">
        <v>1262</v>
      </c>
      <c r="E6" s="140" t="s">
        <v>1263</v>
      </c>
      <c r="F6" s="149"/>
      <c r="N6" s="137" t="str">
        <f t="shared" si="0"/>
        <v>f - organizovanie významných a tradičných športových podujatí na území SR v roku 2020</v>
      </c>
      <c r="O6" s="137" t="s">
        <v>349</v>
      </c>
      <c r="P6" s="137" t="s">
        <v>1264</v>
      </c>
    </row>
    <row r="7" spans="1:16" x14ac:dyDescent="0.25">
      <c r="C7" s="138" t="s">
        <v>1265</v>
      </c>
      <c r="E7" s="140" t="s">
        <v>1266</v>
      </c>
      <c r="F7" s="150"/>
      <c r="N7" s="137" t="str">
        <f t="shared" si="0"/>
        <v>g - projekty školského, univerzitného športu a športu pre všetkých</v>
      </c>
      <c r="O7" s="137" t="s">
        <v>351</v>
      </c>
      <c r="P7" s="137" t="s">
        <v>1267</v>
      </c>
    </row>
    <row r="8" spans="1:16" x14ac:dyDescent="0.25">
      <c r="C8" s="138" t="s">
        <v>1685</v>
      </c>
      <c r="E8" s="140" t="s">
        <v>1268</v>
      </c>
      <c r="F8" s="151"/>
      <c r="N8" s="137" t="str">
        <f t="shared" si="0"/>
        <v>h - podpora a rozvoj turistických a cykloturistických trás</v>
      </c>
      <c r="O8" s="137" t="s">
        <v>353</v>
      </c>
      <c r="P8" s="137" t="s">
        <v>354</v>
      </c>
    </row>
    <row r="9" spans="1:16" x14ac:dyDescent="0.25">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5">
      <c r="N10" s="137" t="str">
        <f t="shared" si="0"/>
        <v>j - projekty pre popularizáciu pohybových aktivít detí, mládeže a seniorov</v>
      </c>
      <c r="O10" s="137" t="s">
        <v>356</v>
      </c>
      <c r="P10" s="137" t="s">
        <v>1271</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1273</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 customHeight="1" thickBot="1" x14ac:dyDescent="0.3">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5">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5">
      <c r="A17" s="139" t="s">
        <v>1281</v>
      </c>
      <c r="B17" s="254" t="s">
        <v>1282</v>
      </c>
      <c r="C17" s="194"/>
      <c r="E17" s="147"/>
      <c r="F17" s="284"/>
      <c r="N17" s="137" t="str">
        <f t="shared" si="0"/>
        <v xml:space="preserve">q - </v>
      </c>
      <c r="O17" s="137" t="s">
        <v>367</v>
      </c>
    </row>
    <row r="18" spans="1:16" x14ac:dyDescent="0.25">
      <c r="B18" s="193" t="s">
        <v>1283</v>
      </c>
      <c r="C18" s="142" t="str">
        <f>Spolu!C4</f>
        <v>42019541</v>
      </c>
      <c r="E18" s="147" t="s">
        <v>1284</v>
      </c>
      <c r="F18" s="284">
        <v>421947749446</v>
      </c>
      <c r="N18" s="137" t="str">
        <f t="shared" si="0"/>
        <v xml:space="preserve">r - </v>
      </c>
      <c r="O18" s="137" t="s">
        <v>368</v>
      </c>
    </row>
    <row r="19" spans="1:16" x14ac:dyDescent="0.25">
      <c r="E19" s="147" t="s">
        <v>1285</v>
      </c>
      <c r="F19" s="284">
        <v>421947749756</v>
      </c>
    </row>
    <row r="20" spans="1:16" ht="15.6" thickBot="1" x14ac:dyDescent="0.3">
      <c r="A20" s="139" t="s">
        <v>392</v>
      </c>
      <c r="B20" s="143">
        <f>F6</f>
        <v>0</v>
      </c>
      <c r="E20" s="208"/>
      <c r="F20" s="285"/>
    </row>
    <row r="21" spans="1:16" ht="189" customHeight="1" x14ac:dyDescent="0.25">
      <c r="B21" s="211"/>
      <c r="C21" s="144"/>
    </row>
    <row r="22" spans="1:16" ht="39.75" customHeight="1" x14ac:dyDescent="0.25">
      <c r="B22" s="367" t="s">
        <v>1286</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1287</v>
      </c>
    </row>
    <row r="29" spans="1:16" x14ac:dyDescent="0.25">
      <c r="N29" s="137" t="s">
        <v>1288</v>
      </c>
    </row>
    <row r="30" spans="1:16" x14ac:dyDescent="0.25">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8" t="str">
        <f>Spolu!C3&amp;", "&amp;Spolu!C6</f>
        <v>Slovenská asociácia čínskeho wushu, Ladislava Dérera 35, Bratislava, 831 01</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1262</v>
      </c>
      <c r="E6" s="140" t="s">
        <v>1263</v>
      </c>
      <c r="F6" s="149"/>
      <c r="N6" s="137" t="str">
        <f t="shared" si="0"/>
        <v>f - plnenie úloh verejného záujmu v športe</v>
      </c>
      <c r="O6" s="137" t="s">
        <v>349</v>
      </c>
      <c r="P6" s="137" t="str">
        <f>Spolu!B22</f>
        <v>plnenie úloh verejného záujmu v športe</v>
      </c>
    </row>
    <row r="7" spans="1:16" x14ac:dyDescent="0.25">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35" customHeight="1" x14ac:dyDescent="0.25">
      <c r="A14" s="139" t="s">
        <v>1275</v>
      </c>
      <c r="B14" s="373" t="s">
        <v>1293</v>
      </c>
      <c r="C14" s="374"/>
      <c r="F14" s="313"/>
      <c r="N14" s="137" t="str">
        <f t="shared" si="0"/>
        <v xml:space="preserve">n - </v>
      </c>
      <c r="O14" s="137" t="s">
        <v>364</v>
      </c>
    </row>
    <row r="15" spans="1:16" ht="34.35" customHeight="1" x14ac:dyDescent="0.25">
      <c r="A15" s="139" t="s">
        <v>1294</v>
      </c>
      <c r="B15" s="373"/>
      <c r="C15" s="374"/>
      <c r="F15" s="376"/>
      <c r="N15" s="137" t="str">
        <f t="shared" si="0"/>
        <v xml:space="preserve">o - </v>
      </c>
      <c r="O15" s="137" t="s">
        <v>365</v>
      </c>
    </row>
    <row r="16" spans="1:16" x14ac:dyDescent="0.25">
      <c r="A16" s="139" t="s">
        <v>1278</v>
      </c>
      <c r="B16" s="142">
        <f>F8</f>
        <v>0</v>
      </c>
      <c r="C16" s="137"/>
      <c r="F16" s="376"/>
      <c r="N16" s="137" t="str">
        <f t="shared" si="0"/>
        <v xml:space="preserve">p - </v>
      </c>
      <c r="O16" s="137" t="s">
        <v>366</v>
      </c>
    </row>
    <row r="17" spans="1:16" ht="32.1" customHeight="1" x14ac:dyDescent="0.25">
      <c r="A17" s="139" t="s">
        <v>1281</v>
      </c>
      <c r="B17" s="142">
        <f>F9</f>
        <v>0</v>
      </c>
      <c r="C17" s="137"/>
      <c r="F17" s="376"/>
      <c r="N17" s="137" t="str">
        <f t="shared" si="0"/>
        <v xml:space="preserve">q - </v>
      </c>
      <c r="O17" s="137" t="s">
        <v>367</v>
      </c>
    </row>
    <row r="18" spans="1:16" ht="15.6" thickBot="1" x14ac:dyDescent="0.3">
      <c r="B18" s="193" t="s">
        <v>1295</v>
      </c>
      <c r="C18" s="194">
        <v>31</v>
      </c>
      <c r="N18" s="137" t="str">
        <f t="shared" si="0"/>
        <v xml:space="preserve">r - </v>
      </c>
      <c r="O18" s="137" t="s">
        <v>368</v>
      </c>
    </row>
    <row r="19" spans="1:16" x14ac:dyDescent="0.25">
      <c r="B19" s="193" t="s">
        <v>1283</v>
      </c>
      <c r="C19" s="142" t="str">
        <f>Spolu!C4</f>
        <v>42019541</v>
      </c>
      <c r="F19" s="145" t="s">
        <v>1279</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1284</v>
      </c>
      <c r="G21" s="286">
        <v>421947749446</v>
      </c>
      <c r="H21" s="148"/>
      <c r="N21" s="137" t="str">
        <f>O21&amp;" - "&amp;P21</f>
        <v>026 01 - Šport pre všetkých, školský a univerzitný šport</v>
      </c>
      <c r="O21" s="137" t="s">
        <v>317</v>
      </c>
      <c r="P21" s="137" t="s">
        <v>318</v>
      </c>
    </row>
    <row r="22" spans="1:16" x14ac:dyDescent="0.25">
      <c r="A22" s="137"/>
      <c r="B22" s="137"/>
      <c r="F22" s="147" t="s">
        <v>1285</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1286</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1296</v>
      </c>
    </row>
    <row r="28" spans="1:16" x14ac:dyDescent="0.25">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1298</v>
      </c>
    </row>
    <row r="2" spans="1:2" ht="30" customHeight="1" x14ac:dyDescent="0.25">
      <c r="A2" s="377" t="s">
        <v>1299</v>
      </c>
      <c r="B2" s="377"/>
    </row>
    <row r="3" spans="1:2" x14ac:dyDescent="0.25">
      <c r="A3" s="61" t="s">
        <v>1300</v>
      </c>
      <c r="B3" s="61" t="s">
        <v>1301</v>
      </c>
    </row>
    <row r="4" spans="1:2" x14ac:dyDescent="0.25">
      <c r="A4" s="62" t="s">
        <v>1302</v>
      </c>
      <c r="B4" s="62" t="s">
        <v>1303</v>
      </c>
    </row>
    <row r="5" spans="1:2" x14ac:dyDescent="0.25">
      <c r="A5" s="62" t="s">
        <v>1304</v>
      </c>
      <c r="B5" s="62" t="s">
        <v>1305</v>
      </c>
    </row>
    <row r="6" spans="1:2" x14ac:dyDescent="0.25">
      <c r="A6" s="62" t="s">
        <v>1306</v>
      </c>
      <c r="B6" s="62" t="s">
        <v>1307</v>
      </c>
    </row>
    <row r="7" spans="1:2" x14ac:dyDescent="0.25">
      <c r="A7" s="62" t="s">
        <v>1308</v>
      </c>
      <c r="B7" s="62" t="s">
        <v>1309</v>
      </c>
    </row>
    <row r="8" spans="1:2" x14ac:dyDescent="0.25">
      <c r="A8" s="62" t="s">
        <v>1310</v>
      </c>
      <c r="B8" s="62" t="s">
        <v>1311</v>
      </c>
    </row>
    <row r="9" spans="1:2" x14ac:dyDescent="0.25">
      <c r="A9" s="62" t="s">
        <v>1312</v>
      </c>
      <c r="B9" s="62" t="s">
        <v>1313</v>
      </c>
    </row>
    <row r="10" spans="1:2" x14ac:dyDescent="0.25">
      <c r="A10" s="62" t="s">
        <v>1314</v>
      </c>
      <c r="B10" s="62" t="s">
        <v>1315</v>
      </c>
    </row>
    <row r="11" spans="1:2" x14ac:dyDescent="0.25">
      <c r="A11" s="62" t="s">
        <v>1316</v>
      </c>
      <c r="B11" s="62" t="s">
        <v>1317</v>
      </c>
    </row>
    <row r="12" spans="1:2" x14ac:dyDescent="0.25">
      <c r="A12" s="62" t="s">
        <v>1318</v>
      </c>
      <c r="B12" s="62" t="s">
        <v>1319</v>
      </c>
    </row>
    <row r="13" spans="1:2" x14ac:dyDescent="0.25">
      <c r="A13" s="62" t="s">
        <v>1320</v>
      </c>
      <c r="B13" s="62" t="s">
        <v>1321</v>
      </c>
    </row>
    <row r="14" spans="1:2" x14ac:dyDescent="0.25">
      <c r="A14" s="62" t="s">
        <v>1322</v>
      </c>
      <c r="B14" s="62" t="s">
        <v>1323</v>
      </c>
    </row>
    <row r="15" spans="1:2" x14ac:dyDescent="0.25">
      <c r="A15" s="62" t="s">
        <v>1324</v>
      </c>
      <c r="B15" s="62" t="s">
        <v>1325</v>
      </c>
    </row>
    <row r="16" spans="1:2" x14ac:dyDescent="0.25">
      <c r="A16" s="62" t="s">
        <v>1326</v>
      </c>
      <c r="B16" s="62" t="s">
        <v>1327</v>
      </c>
    </row>
    <row r="17" spans="1:2" x14ac:dyDescent="0.25">
      <c r="A17" s="62" t="s">
        <v>1328</v>
      </c>
      <c r="B17" s="62" t="s">
        <v>1329</v>
      </c>
    </row>
    <row r="18" spans="1:2" x14ac:dyDescent="0.25">
      <c r="A18" s="62" t="s">
        <v>1330</v>
      </c>
      <c r="B18" s="62" t="s">
        <v>1331</v>
      </c>
    </row>
    <row r="19" spans="1:2" x14ac:dyDescent="0.25">
      <c r="A19" s="62" t="s">
        <v>1332</v>
      </c>
      <c r="B19" s="62" t="s">
        <v>1333</v>
      </c>
    </row>
    <row r="20" spans="1:2" x14ac:dyDescent="0.25">
      <c r="A20" s="62" t="s">
        <v>1334</v>
      </c>
      <c r="B20" s="62" t="s">
        <v>1335</v>
      </c>
    </row>
    <row r="21" spans="1:2" x14ac:dyDescent="0.25">
      <c r="A21" s="62" t="s">
        <v>1336</v>
      </c>
      <c r="B21" s="62" t="s">
        <v>1337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lu bo</cp:lastModifiedBy>
  <cp:revision/>
  <cp:lastPrinted>2025-01-23T13:30:36Z</cp:lastPrinted>
  <dcterms:created xsi:type="dcterms:W3CDTF">2017-02-20T06:20:12Z</dcterms:created>
  <dcterms:modified xsi:type="dcterms:W3CDTF">2026-04-01T12:17:13Z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