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D:\SCU_CHEER\PUŠ\2025\PUŠ_čerpanie\FINAL_2025\"/>
    </mc:Choice>
  </mc:AlternateContent>
  <xr:revisionPtr revIDLastSave="0" documentId="13_ncr:1_{B3B9810B-E1F0-4CB2-AD19-696DDB8998AF}"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Doklady!$A$1:$J$4838</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<sst xmlns="http://schemas.openxmlformats.org/spreadsheetml/2006/main" count="2756" uniqueCount="1571">
  <si>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</si>
  <si>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</si>
  <si>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</si>
  <si>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</si>
  <si>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</si>
  <si>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</si>
  <si>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</si>
  <si>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</si>
  <si>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</si>
  <si>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</si>
  <si>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</si>
  <si>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</si>
  <si>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</si>
  <si>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</si>
  <si>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</si>
  <si>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</si>
  <si>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</si>
  <si>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</si>
  <si>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</si>
  <si>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</si>
  <si>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</si>
  <si>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</si>
  <si>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</si>
  <si>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</si>
  <si>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</si>
  <si>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</si>
  <si>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</si>
  <si>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</si>
  <si>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</si>
  <si>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</si>
  <si>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</si>
  <si>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</si>
  <si>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</si>
  <si>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</si>
  <si>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</si>
  <si>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</si>
  <si>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</si>
  <si>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</si>
  <si>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</si>
  <si>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</si>
  <si>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</si>
  <si>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</si>
  <si>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</si>
  <si>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</si>
  <si>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</si>
  <si>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</si>
  <si>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</si>
  <si>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</si>
  <si>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</si>
  <si>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</si>
  <si>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</si>
  <si>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</si>
  <si>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</si>
  <si>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</si>
  <si>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</si>
  <si>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</si>
  <si>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</si>
  <si>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</si>
  <si>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</si>
  <si>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</si>
  <si>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</si>
  <si>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</si>
  <si>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</si>
  <si>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</si>
  <si>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</si>
  <si>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</si>
  <si>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</si>
  <si>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</si>
  <si>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</si>
  <si>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</si>
  <si>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</si>
  <si>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</si>
  <si>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</si>
  <si>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</si>
  <si>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</si>
  <si>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</si>
  <si>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</si>
  <si>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</si>
  <si>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</si>
  <si>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</si>
  <si>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</si>
  <si>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</si>
  <si>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</si>
  <si>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</si>
  <si>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</si>
  <si>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</si>
  <si>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</si>
  <si>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</si>
  <si>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</si>
  <si>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</si>
  <si>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</si>
  <si>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</si>
  <si>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</si>
  <si>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</si>
  <si>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</si>
  <si>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</si>
  <si>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</si>
  <si>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</si>
  <si>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</si>
  <si>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</si>
  <si>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</si>
  <si>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</si>
  <si>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</si>
  <si>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</si>
  <si>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</si>
  <si>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</si>
  <si>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</si>
  <si>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</si>
  <si>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</si>
  <si>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</si>
  <si>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</si>
  <si>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</si>
  <si>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</si>
  <si>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</si>
  <si>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</si>
  <si>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</si>
  <si>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</si>
  <si>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</si>
  <si>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</si>
  <si>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</si>
  <si>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</si>
  <si>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</si>
  <si>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</si>
  <si>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</si>
  <si>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</si>
  <si>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</si>
  <si>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</si>
  <si>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</si>
  <si>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</si>
  <si>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</si>
  <si>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</si>
  <si>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</si>
  <si>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</si>
  <si>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</si>
  <si>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</si>
  <si>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</si>
  <si>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</si>
  <si>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</si>
  <si>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</si>
  <si>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</si>
  <si>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</si>
  <si>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</si>
  <si>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</si>
  <si>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</si>
  <si>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</si>
  <si>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</si>
  <si>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</si>
  <si>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</si>
  <si>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</si>
  <si>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</si>
  <si>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</si>
  <si>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</si>
  <si>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</si>
  <si>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</si>
  <si>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</si>
  <si>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</si>
  <si>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</si>
  <si>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</si>
  <si>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</si>
  <si>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</si>
  <si>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</si>
  <si>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</si>
  <si>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</si>
  <si>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</si>
  <si>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</si>
  <si>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</si>
  <si>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</si>
  <si>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</si>
  <si>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</si>
  <si>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</si>
  <si>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</si>
  <si>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</si>
  <si>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</si>
  <si>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</si>
  <si>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</si>
  <si>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</si>
  <si>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</si>
  <si>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</si>
  <si>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</si>
  <si>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</si>
  <si>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</si>
  <si>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</si>
  <si>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</si>
  <si>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</si>
  <si>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</si>
  <si>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</si>
  <si>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</si>
  <si>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</si>
  <si>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</si>
  <si>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</si>
  <si>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</si>
  <si>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</si>
  <si>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</si>
  <si>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</si>
  <si>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</si>
  <si>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</si>
  <si>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</si>
  <si>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</si>
  <si>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</si>
  <si>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</si>
  <si>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</si>
  <si>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</si>
  <si>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</si>
  <si>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</si>
  <si>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</si>
  <si>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</si>
  <si>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</si>
  <si>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</si>
  <si>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</si>
  <si>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</si>
  <si>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</si>
  <si>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</si>
  <si>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</si>
  <si>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</si>
  <si>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</si>
  <si>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</si>
  <si>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</si>
  <si>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</si>
  <si>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</si>
  <si>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</si>
  <si>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</si>
  <si>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</si>
  <si>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</si>
  <si>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</si>
  <si>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</si>
  <si>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</si>
  <si>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</si>
  <si>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</si>
  <si>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</si>
  <si>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</si>
  <si>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</si>
  <si>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</si>
  <si>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</si>
  <si>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</si>
  <si>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</si>
  <si>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</si>
  <si>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</si>
  <si>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</si>
  <si>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</si>
  <si>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</si>
  <si>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</si>
  <si>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</si>
  <si>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</si>
  <si>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</si>
  <si>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</si>
  <si>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</si>
  <si>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</si>
  <si>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</si>
  <si>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</si>
  <si>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</si>
  <si>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</si>
  <si>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</si>
  <si>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</si>
  <si>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</si>
  <si>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</si>
  <si>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</si>
  <si>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</si>
  <si>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</si>
  <si>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</si>
  <si>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</si>
  <si>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</si>
  <si>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</si>
  <si>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</si>
  <si>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</si>
  <si>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</si>
  <si>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</si>
  <si>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</si>
  <si>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</si>
  <si>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</si>
  <si>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</si>
  <si>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</si>
  <si>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</si>
  <si>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</si>
  <si>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</si>
  <si>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</si>
  <si>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</si>
  <si>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</si>
  <si>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</si>
  <si>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</si>
  <si>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</si>
  <si>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</si>
  <si>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</si>
  <si>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</si>
  <si>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</si>
  <si>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</si>
  <si>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</si>
  <si>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</si>
  <si>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</si>
  <si>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</si>
  <si>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</si>
  <si>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</si>
  <si>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</si>
  <si>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</si>
  <si>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</si>
  <si>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</si>
  <si>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</si>
  <si>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</si>
  <si>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</si>
  <si>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</si>
  <si>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</si>
  <si>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</si>
  <si>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</si>
  <si>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</si>
  <si>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</si>
  <si>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</si>
  <si>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</si>
  <si>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</si>
  <si>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</si>
  <si>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</si>
  <si>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</si>
  <si>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</si>
  <si>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</si>
  <si>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</si>
  <si>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</si>
  <si>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</si>
  <si>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</si>
  <si>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</si>
  <si>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</si>
  <si>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</si>
  <si>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</si>
  <si>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</si>
  <si>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</si>
  <si>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</si>
  <si>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</si>
  <si>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</si>
  <si>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</si>
  <si>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</si>
  <si>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</si>
  <si>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</si>
  <si>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</si>
  <si>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</si>
  <si>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</si>
  <si>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</si>
  <si>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</si>
  <si>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</si>
  <si>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</si>
  <si>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</si>
  <si>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</si>
  <si>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</si>
  <si>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</si>
  <si>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</si>
  <si>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</si>
  <si>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</si>
  <si>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</si>
  <si>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</si>
  <si>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</si>
  <si>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</si>
  <si>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</si>
  <si>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</si>
  <si>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</si>
  <si>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</si>
  <si>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</si>
  <si>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</si>
  <si>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</si>
  <si>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</si>
  <si>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</si>
  <si>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</si>
  <si>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</si>
  <si>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</si>
  <si>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</si>
  <si>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</si>
  <si>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</si>
  <si>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</si>
  <si>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</si>
  <si>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</si>
  <si>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</si>
  <si>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</si>
  <si>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</si>
  <si>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</si>
  <si>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</si>
  <si>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</si>
  <si>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</si>
  <si>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</si>
  <si>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</si>
  <si>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</si>
  <si>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</si>
  <si>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</si>
  <si>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</si>
  <si>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</si>
  <si>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</si>
  <si>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</si>
  <si>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</si>
  <si>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</si>
  <si>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</si>
  <si>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</si>
  <si>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</si>
  <si>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</si>
  <si>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</si>
  <si>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</si>
  <si>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</si>
  <si>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</si>
  <si>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</si>
  <si>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</si>
  <si>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</si>
  <si>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</si>
  <si>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</si>
  <si>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</si>
  <si>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</si>
  <si>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</si>
  <si>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</si>
  <si>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</si>
  <si>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</si>
  <si>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</si>
  <si>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</si>
  <si>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</si>
  <si>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</si>
  <si>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</si>
  <si>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</si>
  <si>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</si>
  <si>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</si>
  <si>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</si>
  <si>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</si>
  <si>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</si>
  <si>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</si>
  <si>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</si>
  <si>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</si>
  <si>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</si>
  <si>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</si>
  <si>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</si>
  <si>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</si>
  <si>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</si>
  <si>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</si>
  <si>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</si>
  <si>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</si>
  <si>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</si>
  <si>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</si>
  <si>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</si>
  <si>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</si>
  <si>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</si>
  <si>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</si>
  <si>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</si>
  <si>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</si>
  <si>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</si>
  <si>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</si>
  <si>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</si>
  <si>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</si>
  <si>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</si>
  <si>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</si>
  <si>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</si>
  <si>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</si>
  <si>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</si>
  <si>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</si>
  <si>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</si>
  <si>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</si>
  <si>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</si>
  <si>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</si>
  <si>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</si>
  <si>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</si>
  <si>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</si>
  <si>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</si>
  <si>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</si>
  <si>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</si>
  <si>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</si>
  <si>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</si>
  <si>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</si>
  <si>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</si>
  <si>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</si>
  <si>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</si>
  <si>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</si>
  <si>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</si>
  <si>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</si>
  <si>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</si>
  <si>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</si>
  <si>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</si>
  <si>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</si>
  <si>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</si>
  <si>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</si>
  <si>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</si>
  <si>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</si>
  <si>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</si>
  <si>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</si>
  <si>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</si>
  <si>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</si>
  <si>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</si>
  <si>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</si>
  <si>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</si>
  <si>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</si>
  <si>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</si>
  <si>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</si>
  <si>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</si>
  <si>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</si>
  <si>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</si>
  <si>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</si>
  <si>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</si>
  <si>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</si>
  <si>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</si>
  <si>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</si>
  <si>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</si>
  <si>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</si>
  <si>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</si>
  <si>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</si>
  <si>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</si>
  <si>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</si>
  <si>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</si>
  <si>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</si>
  <si>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</si>
  <si>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</si>
  <si>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</si>
  <si>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</si>
  <si>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</si>
  <si>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</si>
  <si>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</si>
  <si>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</si>
  <si>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</si>
  <si>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</si>
  <si>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</si>
  <si>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</si>
  <si>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</si>
  <si>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</si>
  <si>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</si>
  <si>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</si>
  <si>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</si>
  <si>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</si>
  <si>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</si>
  <si>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</si>
  <si>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</si>
  <si>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</si>
  <si>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</si>
  <si>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</si>
  <si>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</si>
  <si>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</si>
  <si>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</si>
  <si>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</si>
  <si>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</si>
  <si>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</si>
  <si>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</si>
  <si>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</si>
  <si>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</si>
  <si>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</si>
  <si>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</si>
  <si>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</si>
  <si>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</si>
  <si>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</si>
  <si>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</si>
  <si>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</si>
  <si>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</si>
  <si>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</si>
  <si>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</si>
  <si>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</si>
  <si>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</si>
  <si>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</si>
  <si>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</si>
  <si>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</si>
  <si>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</si>
  <si>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</si>
  <si>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</si>
  <si>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</si>
  <si>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</si>
  <si>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</si>
  <si>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</si>
  <si>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</si>
  <si>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</si>
  <si>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</si>
  <si>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</si>
  <si>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</si>
  <si>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</si>
  <si>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</si>
  <si>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</si>
  <si>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</si>
  <si>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</si>
  <si>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</si>
  <si>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</si>
  <si>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</si>
  <si>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</si>
  <si>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</si>
  <si>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</si>
  <si>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</si>
  <si>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</si>
  <si>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</si>
  <si>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</si>
  <si>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</si>
  <si>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</si>
  <si>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</si>
  <si>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</si>
  <si>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</si>
  <si>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</si>
  <si>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</si>
  <si>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</si>
  <si>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</si>
  <si>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</si>
  <si>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</si>
  <si>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</si>
  <si>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</si>
  <si>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</si>
  <si>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</si>
  <si>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</si>
  <si>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</si>
  <si>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</si>
  <si>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</si>
  <si>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</si>
  <si>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</si>
  <si>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</si>
  <si>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</si>
  <si>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</si>
  <si>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</si>
  <si>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</si>
  <si>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</si>
  <si>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</si>
  <si>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</si>
  <si>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</si>
  <si>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</si>
  <si>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</si>
  <si>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</si>
  <si>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</si>
  <si>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</si>
  <si>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</si>
  <si>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</si>
  <si>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</si>
  <si>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</si>
  <si>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</si>
  <si>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</si>
  <si>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</si>
  <si>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</si>
  <si>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</si>
  <si>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</si>
  <si>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</si>
  <si>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</si>
  <si>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</si>
  <si>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</si>
  <si>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</si>
  <si>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</si>
  <si>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</si>
  <si>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</si>
  <si>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</si>
  <si>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</si>
  <si>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</si>
  <si>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</si>
  <si>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</si>
  <si>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</si>
  <si>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</si>
  <si>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</si>
  <si>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</si>
  <si>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</si>
  <si>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</si>
  <si>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</si>
  <si>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</si>
  <si>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</si>
  <si>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</si>
  <si>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</si>
  <si>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</si>
  <si>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</si>
  <si>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</si>
  <si>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</si>
  <si>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</si>
  <si>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</si>
  <si>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</si>
  <si>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</si>
  <si>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</si>
  <si>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</si>
  <si>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</si>
  <si>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</si>
  <si>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</si>
  <si>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</si>
  <si>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</si>
  <si>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</si>
  <si>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</si>
  <si>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</si>
  <si>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</si>
  <si>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</si>
  <si>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</si>
  <si>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</si>
  <si>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</si>
  <si>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</si>
  <si>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</si>
  <si>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</si>
  <si>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</si>
  <si>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</si>
  <si>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</si>
  <si>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</si>
  <si>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</si>
  <si>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</si>
  <si>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</si>
  <si>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</si>
  <si>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</si>
  <si>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</si>
  <si>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</si>
  <si>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</si>
  <si>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</si>
  <si>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</si>
  <si>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</si>
  <si>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</si>
  <si>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</si>
  <si>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</si>
  <si>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</si>
  <si>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</si>
  <si>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</si>
  <si>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</si>
  <si>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</si>
  <si>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</si>
  <si>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</si>
  <si>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</si>
  <si>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</si>
  <si>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</si>
  <si>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</si>
  <si>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</si>
  <si>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</si>
  <si>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</si>
  <si>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</si>
  <si>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</si>
  <si>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</si>
  <si>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</si>
  <si>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</si>
  <si>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</si>
  <si>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</si>
  <si>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</si>
  <si>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</si>
  <si>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</si>
  <si>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</si>
  <si>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</si>
  <si>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</si>
  <si>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</si>
  <si>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</si>
  <si>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</si>
  <si>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</si>
  <si>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</si>
  <si>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</si>
  <si>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</si>
  <si>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</si>
  <si>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</si>
  <si>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</si>
  <si>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</si>
  <si>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</si>
  <si>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</si>
  <si>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</si>
  <si>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</si>
  <si>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</si>
  <si>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</si>
  <si>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</si>
  <si>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</si>
  <si>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</si>
  <si>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</si>
  <si>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</si>
  <si>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</si>
  <si>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</si>
  <si>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</si>
  <si>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</si>
  <si>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</si>
  <si>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</si>
  <si>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</si>
  <si>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</si>
  <si>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</si>
  <si>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</si>
  <si>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</si>
  <si>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</si>
  <si>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</si>
  <si>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</si>
  <si>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</si>
  <si>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</si>
  <si>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</si>
  <si>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</si>
  <si>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</si>
  <si>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</si>
  <si>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</si>
  <si>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</si>
  <si>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</si>
  <si>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</si>
  <si>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</si>
  <si>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</si>
  <si>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</si>
  <si>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</si>
  <si>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</si>
  <si>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</si>
  <si>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</si>
  <si>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</si>
  <si>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</si>
  <si>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</si>
  <si>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</si>
  <si>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</si>
  <si>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</si>
  <si>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</si>
  <si>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</si>
  <si>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</si>
  <si>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</si>
  <si>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</si>
  <si>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</si>
  <si>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</si>
  <si>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</si>
  <si>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</si>
  <si>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</si>
  <si>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</si>
  <si>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</si>
  <si>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</si>
  <si>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</si>
  <si>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</si>
  <si>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</si>
  <si>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</si>
  <si>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</si>
  <si>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</si>
  <si>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</si>
  <si>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</si>
  <si>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</si>
  <si>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</si>
  <si>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</si>
  <si>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</si>
  <si>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</si>
  <si>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</si>
  <si>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</si>
  <si>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</si>
  <si>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</si>
  <si>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</si>
  <si>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</si>
  <si>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</si>
  <si>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</si>
  <si>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</si>
  <si>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</si>
  <si>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</si>
  <si>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</si>
  <si>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</si>
  <si>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</si>
  <si>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</si>
  <si>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</si>
  <si>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</si>
  <si>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</si>
  <si>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</si>
  <si>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</si>
  <si>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</si>
  <si>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</si>
  <si>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</si>
  <si>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</si>
  <si>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</si>
  <si>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</si>
  <si>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</si>
  <si>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</si>
  <si>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</si>
  <si>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</si>
  <si>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</si>
  <si>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</si>
  <si>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</si>
  <si>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</si>
  <si>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</si>
  <si>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</si>
  <si>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</si>
  <si>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</si>
  <si>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</si>
  <si>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</si>
  <si>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</si>
  <si>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</si>
  <si>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</si>
  <si>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</si>
  <si>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</si>
  <si>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</si>
  <si>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</si>
  <si>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</si>
  <si>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</si>
  <si>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</si>
  <si>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</si>
  <si>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</si>
  <si>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</si>
  <si>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</si>
  <si>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</si>
  <si>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</si>
  <si>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</si>
  <si>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</si>
  <si>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</si>
  <si>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</si>
  <si>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</si>
  <si>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</si>
  <si>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</si>
  <si>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</si>
  <si>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</si>
  <si>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</si>
  <si>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</si>
  <si>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</si>
  <si>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</si>
  <si>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</si>
  <si>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</si>
  <si>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</si>
  <si>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</si>
  <si>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</si>
  <si>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</si>
  <si>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</si>
  <si>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</si>
  <si>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</si>
  <si>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</si>
  <si>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</si>
  <si>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</si>
  <si>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</si>
  <si>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</si>
  <si>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</si>
  <si>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</si>
  <si>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</si>
  <si>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</si>
  <si>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</si>
  <si>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</si>
  <si>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</si>
  <si>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</si>
  <si>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</si>
  <si>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</si>
  <si>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</si>
  <si>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</si>
  <si>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</si>
  <si>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</si>
  <si>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</si>
  <si>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</si>
  <si>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</si>
  <si>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</si>
  <si>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</si>
  <si>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</si>
  <si>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</si>
  <si>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</si>
  <si>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</si>
  <si>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</si>
  <si>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</si>
  <si>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</si>
  <si>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</si>
  <si>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</si>
  <si>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</si>
  <si>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</si>
  <si>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</si>
  <si>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</si>
  <si>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</si>
  <si>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</si>
  <si>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</si>
  <si>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</si>
  <si>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</si>
  <si>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</si>
  <si>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</si>
  <si>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</si>
  <si>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</si>
  <si>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</si>
  <si>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</si>
  <si>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</si>
  <si>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</si>
  <si>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</si>
  <si>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</si>
  <si>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</si>
  <si>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</si>
  <si>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</si>
  <si>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</si>
  <si>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</si>
  <si>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</si>
  <si>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</si>
  <si>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</si>
  <si>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</si>
  <si>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</si>
  <si>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</si>
  <si>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</si>
  <si>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</si>
  <si>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</si>
  <si>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</si>
  <si>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</si>
  <si>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</si>
  <si>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</si>
  <si>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</si>
  <si>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</si>
  <si>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</si>
  <si>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</si>
  <si>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</si>
  <si>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</si>
  <si>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</si>
  <si>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</si>
  <si>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</si>
  <si>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</si>
  <si>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</si>
  <si>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</si>
  <si>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</si>
  <si>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</si>
  <si>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</si>
  <si>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</si>
  <si>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</si>
  <si>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</si>
  <si>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</si>
  <si>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</si>
  <si>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</si>
  <si>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</si>
  <si>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</si>
  <si>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</si>
  <si>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</si>
  <si>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</si>
  <si>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</si>
  <si>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</si>
  <si>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</si>
  <si>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</si>
  <si>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</si>
  <si>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</si>
  <si>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</si>
  <si>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</si>
  <si>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</si>
  <si>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</si>
  <si>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</si>
  <si>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</si>
  <si>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</si>
  <si>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</si>
  <si>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</si>
  <si>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</si>
  <si>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</si>
  <si>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</si>
  <si>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</si>
  <si>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</si>
  <si>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</si>
  <si>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</si>
  <si>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</si>
  <si>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</si>
  <si>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</si>
  <si>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</si>
  <si>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</si>
  <si>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</si>
  <si>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</si>
  <si>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</si>
  <si>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</si>
  <si>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</si>
  <si>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</si>
  <si>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</si>
  <si>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</si>
  <si>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</si>
  <si>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</si>
  <si>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</si>
  <si>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</si>
  <si>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</si>
  <si>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</si>
  <si>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</si>
  <si>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</si>
  <si>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</si>
  <si>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</si>
  <si>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</si>
  <si>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</si>
  <si>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</si>
  <si>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</si>
  <si>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</si>
  <si>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</si>
  <si>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</si>
  <si>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</si>
  <si>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</si>
  <si>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</si>
  <si>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</si>
  <si>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</si>
  <si>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</si>
  <si>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</si>
  <si>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</si>
  <si>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</si>
  <si>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</si>
  <si>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</si>
  <si>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</si>
  <si>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</si>
  <si>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</si>
  <si>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</si>
  <si>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</si>
  <si>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</si>
  <si>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</si>
  <si>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</si>
  <si>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</si>
  <si>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</si>
  <si>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</si>
  <si>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</si>
  <si>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</si>
  <si>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</si>
  <si>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</si>
  <si>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</si>
  <si>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</si>
  <si>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</si>
  <si>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</si>
  <si>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</si>
  <si>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</si>
  <si>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</si>
  <si>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</si>
  <si>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</si>
  <si>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</si>
  <si>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</si>
  <si>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</si>
  <si>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</si>
  <si>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</si>
  <si>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</si>
  <si>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</si>
  <si>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</si>
  <si>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</si>
  <si>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</si>
  <si>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</si>
  <si>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</si>
  <si>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</si>
  <si>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</si>
  <si>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</si>
  <si>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</si>
  <si>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</si>
  <si>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</si>
  <si>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</si>
  <si>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</si>
  <si>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</si>
  <si>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</si>
  <si>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</si>
  <si>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</si>
  <si>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</si>
  <si>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</si>
  <si>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</si>
  <si>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</si>
  <si>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</si>
  <si>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</si>
  <si>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</si>
  <si>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</si>
  <si>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</si>
  <si>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</si>
  <si>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</si>
  <si>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</si>
  <si>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</si>
  <si>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</si>
  <si>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</si>
  <si>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</si>
  <si>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</si>
  <si>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</si>
  <si>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</si>
  <si>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</si>
  <si>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</si>
  <si>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</si>
  <si>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</si>
  <si>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</si>
  <si>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</si>
  <si>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</si>
  <si>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</si>
  <si>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</si>
  <si>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</si>
  <si>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</si>
  <si>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</si>
  <si>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</si>
  <si>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</si>
  <si>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</si>
  <si>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</si>
  <si>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</si>
  <si>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</si>
  <si>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</si>
  <si>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</si>
  <si>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</si>
  <si>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</si>
  <si>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</si>
  <si>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</si>
  <si>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</si>
  <si>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</si>
  <si>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</si>
  <si>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</si>
  <si>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</si>
  <si>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</si>
  <si>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</si>
  <si>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</si>
  <si>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</si>
  <si>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</si>
  <si>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</si>
  <si>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</si>
  <si>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</si>
  <si>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</si>
  <si>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</si>
  <si>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</si>
  <si>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</si>
  <si>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</si>
  <si>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</si>
  <si>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</si>
  <si>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</si>
  <si>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</si>
  <si>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</si>
  <si>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</si>
  <si>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</si>
  <si>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</si>
  <si>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</si>
  <si>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</si>
  <si>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</si>
  <si>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</si>
  <si>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</si>
  <si>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</si>
  <si>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</si>
  <si>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</si>
  <si>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</si>
  <si>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</si>
  <si>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</si>
  <si>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</si>
  <si>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</si>
  <si>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</si>
  <si>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</si>
  <si>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</si>
  <si>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</si>
  <si>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</si>
  <si>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</si>
  <si>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</si>
  <si>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</si>
  <si>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</si>
  <si>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</si>
  <si>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</si>
  <si>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</si>
  <si>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</si>
  <si>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</si>
  <si>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</si>
  <si>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</si>
  <si>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</si>
  <si>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</si>
  <si>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</si>
  <si>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</si>
  <si>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</si>
  <si>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</si>
  <si>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</si>
  <si>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</si>
  <si>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</si>
  <si>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</si>
  <si>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</si>
  <si>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</si>
  <si>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</si>
  <si>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</si>
  <si>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</si>
  <si>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</si>
  <si>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</si>
  <si>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</si>
  <si>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</si>
  <si>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</si>
  <si>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</si>
  <si>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</si>
  <si>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</si>
  <si>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</si>
  <si>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</si>
  <si>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</si>
  <si>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</si>
  <si>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</si>
  <si>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</si>
  <si>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</si>
  <si>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</si>
  <si>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</si>
  <si>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</si>
  <si>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</si>
  <si>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</si>
  <si>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</si>
  <si>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</si>
  <si>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</si>
  <si>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</si>
  <si>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</si>
  <si>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</si>
  <si>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</si>
  <si>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</si>
  <si>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</si>
  <si>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</si>
  <si>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</si>
  <si>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</si>
  <si>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</si>
  <si>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</si>
  <si>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</si>
  <si>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</si>
  <si>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</si>
  <si>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</si>
  <si>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</si>
  <si>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</si>
  <si>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</si>
  <si>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</si>
  <si>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</si>
  <si>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</si>
  <si>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</si>
  <si>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</si>
  <si>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</si>
  <si>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</si>
  <si>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</si>
  <si>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</si>
  <si>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</si>
  <si>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</si>
  <si>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</si>
  <si>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</si>
  <si>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</si>
  <si>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</si>
  <si>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</si>
  <si>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</si>
  <si>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</si>
  <si>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</si>
  <si>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</si>
  <si>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</si>
  <si>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</si>
  <si>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</si>
  <si>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</si>
  <si>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</si>
  <si>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</si>
  <si>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</si>
  <si>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</si>
  <si>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</si>
  <si>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</si>
  <si>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</si>
  <si>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</si>
  <si>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</si>
  <si>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</si>
  <si>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</si>
  <si>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</si>
  <si>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</si>
  <si>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</si>
  <si>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</si>
  <si>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</si>
  <si>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</si>
  <si>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</si>
  <si>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</si>
  <si>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</si>
  <si>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</si>
  <si>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</si>
  <si>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</si>
  <si>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</si>
  <si>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</si>
  <si>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</si>
  <si>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</si>
  <si>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</si>
  <si>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</si>
  <si>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</si>
  <si>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</si>
  <si>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</si>
  <si>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</si>
  <si>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</si>
  <si>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</si>
  <si>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</si>
  <si>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</si>
  <si>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</si>
  <si>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</si>
  <si>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</si>
  <si>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</si>
  <si>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</si>
  <si>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</si>
  <si>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</si>
  <si>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</si>
  <si>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</si>
  <si>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</si>
  <si>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</si>
  <si>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</si>
  <si>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</si>
  <si>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</si>
  <si>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</si>
  <si>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</si>
  <si>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</si>
  <si>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</si>
  <si>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</si>
  <si>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</si>
  <si>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</si>
  <si>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</si>
  <si>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</si>
  <si>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</si>
  <si>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</si>
  <si>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</si>
  <si>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</si>
  <si>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</si>
  <si>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</si>
  <si>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</si>
  <si>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</si>
  <si>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</si>
  <si>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</si>
  <si>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</si>
  <si>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</si>
  <si>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</si>
  <si>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</si>
  <si>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</si>
  <si>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</si>
  <si>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</si>
  <si>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</si>
  <si>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</si>
  <si>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</si>
  <si>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</si>
  <si>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</si>
  <si>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</si>
  <si>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</si>
  <si>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</si>
  <si>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</si>
  <si>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</si>
  <si>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</si>
  <si>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</si>
  <si>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</si>
  <si>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</si>
  <si>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</si>
  <si>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</si>
  <si>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</si>
  <si>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</si>
  <si>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</si>
  <si>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</si>
  <si>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</si>
  <si>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</si>
  <si>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</si>
  <si>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</si>
  <si>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</si>
  <si>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</si>
  <si>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</si>
  <si>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</si>
  <si>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</si>
  <si>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</si>
  <si>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</si>
  <si>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</si>
  <si>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</si>
  <si>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</si>
  <si>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</si>
  <si>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</si>
  <si>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</si>
  <si>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</si>
  <si>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</si>
  <si>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</si>
  <si>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</si>
  <si>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</si>
  <si>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</si>
  <si>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</si>
  <si>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</si>
  <si>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</si>
  <si>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</si>
  <si>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</si>
  <si>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</si>
  <si>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</si>
  <si>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</si>
  <si>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</si>
  <si>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</si>
  <si>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</si>
  <si>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</si>
  <si>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</si>
  <si>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</si>
  <si>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</si>
  <si>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</si>
  <si>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</si>
  <si>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</si>
  <si>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</si>
  <si>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</si>
  <si>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</si>
  <si>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</si>
  <si>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</si>
  <si>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</si>
  <si>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</si>
  <si>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</si>
  <si>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</si>
  <si>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</si>
  <si>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</si>
  <si>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</si>
  <si>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</si>
  <si>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</si>
  <si>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</si>
  <si>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</si>
  <si>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</si>
  <si>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</si>
  <si>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</si>
  <si>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</si>
  <si>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</si>
  <si>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</si>
  <si>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</si>
  <si>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</si>
  <si>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</si>
  <si>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</si>
  <si>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</si>
  <si>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</si>
  <si>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</si>
  <si>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</si>
  <si>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</si>
  <si>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</si>
  <si>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</si>
  <si>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</si>
  <si>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</si>
  <si>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</si>
  <si>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</si>
  <si>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</si>
  <si>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</si>
  <si>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</si>
  <si>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</si>
  <si>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</si>
  <si>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</si>
  <si>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</si>
  <si>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</si>
  <si>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</si>
  <si>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</si>
  <si>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</si>
  <si>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</si>
  <si>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</si>
  <si>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</si>
  <si>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</si>
  <si>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</si>
  <si>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</si>
  <si>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</si>
  <si>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</si>
  <si>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</si>
  <si>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</si>
  <si>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</si>
  <si>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</si>
  <si>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</si>
  <si>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</si>
  <si>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</si>
  <si>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</si>
  <si>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</si>
  <si>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</si>
  <si>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</si>
  <si>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</si>
  <si>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</si>
  <si>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</si>
  <si>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</si>
  <si>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</si>
  <si>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</si>
  <si>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</si>
  <si>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</si>
  <si>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</si>
  <si>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</si>
  <si>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</si>
  <si>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</si>
  <si>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</si>
  <si>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</si>
  <si>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</si>
  <si>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</si>
  <si>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</si>
  <si>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</si>
  <si>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</si>
  <si>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</si>
  <si>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</si>
  <si>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</si>
  <si>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</si>
  <si>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</si>
  <si>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</si>
  <si>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</si>
  <si>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</si>
  <si>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</si>
  <si>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</si>
  <si>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</si>
  <si>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</si>
  <si>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</si>
  <si>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</si>
  <si>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</si>
  <si>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</si>
  <si>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</si>
  <si>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</si>
  <si>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</si>
  <si>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</si>
  <si>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</si>
  <si>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</si>
  <si>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</si>
  <si>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</si>
  <si>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cheerleading - bežné transfery</t>
  </si>
  <si>
    <t>BV2506001</t>
  </si>
  <si>
    <t>PZ012025</t>
  </si>
  <si>
    <t>Administratívne práce generálneho sekretára 01/2025</t>
  </si>
  <si>
    <t>osoba 1</t>
  </si>
  <si>
    <t>BV2506002</t>
  </si>
  <si>
    <t>76/2024/91</t>
  </si>
  <si>
    <t>Gymnastický koberec,nerezaný, sedo-modrý 1300x00x3</t>
  </si>
  <si>
    <t>CZ25944711</t>
  </si>
  <si>
    <t>JIPAST akciová spoločnosť, Vážní 400, 503 41 Hradec Králové 7, CZ</t>
  </si>
  <si>
    <t>BV2506003</t>
  </si>
  <si>
    <t>10250112</t>
  </si>
  <si>
    <t>Prenájom športových zariadení v objekte DOM Športu 03/2025</t>
  </si>
  <si>
    <t>35862289</t>
  </si>
  <si>
    <t xml:space="preserve">Dom Športu, s.r.o., Olympijske námestie 1, 831 04 Bratislava </t>
  </si>
  <si>
    <t>BV2506004</t>
  </si>
  <si>
    <t>REG-0011502723</t>
  </si>
  <si>
    <t>SCT (Slovak Cheer Team - reprezentácia) - štartovné, registrácia ICU WORLDS Orlando,USA (majstrovstvá světa)</t>
  </si>
  <si>
    <t>International Cheer Union (ICU), 711 N Front Street, Suite 100, Memphis, TN 38107</t>
  </si>
  <si>
    <t>BV2506005</t>
  </si>
  <si>
    <t>poplatok za prevod</t>
  </si>
  <si>
    <t>ICU (International Cheer Union) WORLD CHAMPIONS</t>
  </si>
  <si>
    <t>BV2506006</t>
  </si>
  <si>
    <t>SCT (Slovak Cheer Team - reprezentácia SR)</t>
  </si>
  <si>
    <t>ICU (International Cheer Union) WORLD CHAMPIONS, 711 N FRONT STREET, MEMPHIS, 38107</t>
  </si>
  <si>
    <t>BV2506007</t>
  </si>
  <si>
    <t>IN-2025-059</t>
  </si>
  <si>
    <t>European Cheer Union (ECU) membership - členský poplatok</t>
  </si>
  <si>
    <t>European Cheer Union</t>
  </si>
  <si>
    <t>BV2506008</t>
  </si>
  <si>
    <t>250100002</t>
  </si>
  <si>
    <t xml:space="preserve">Tablet pre safety judging na sutaze - kontrola bezpečnosti počas súťaží </t>
  </si>
  <si>
    <t>45423521</t>
  </si>
  <si>
    <t>Videoslužby Michalekova, Alena Michaleková, Nográdyho 11, 960 01 Zvolen</t>
  </si>
  <si>
    <t>BV2506009</t>
  </si>
  <si>
    <t>2025001</t>
  </si>
  <si>
    <t>SCU príspevok podla AS, príspevok AŠ za rok 2024</t>
  </si>
  <si>
    <t>UNITY Academy, Piaristická 269/36, 91105 Trenčin</t>
  </si>
  <si>
    <t>BV2506010</t>
  </si>
  <si>
    <t>20250002</t>
  </si>
  <si>
    <t>SCU prípsevok podla AS, príspevok AŠ za rok 2024</t>
  </si>
  <si>
    <t>ŠK Horná Ždaňa, Horná Ždaňa 208, 96604 Horná Ždaňa</t>
  </si>
  <si>
    <t>BV2506011</t>
  </si>
  <si>
    <t>0125</t>
  </si>
  <si>
    <t>SCU prípsevok podla AS, príspevok AŠ za rok 2025</t>
  </si>
  <si>
    <t>ABC Cheerleaders Prešov, Sibírska 22, 08001 Prešov</t>
  </si>
  <si>
    <t>BV2506012</t>
  </si>
  <si>
    <t>250532</t>
  </si>
  <si>
    <t>tryout SCT2026 hlavni treneri ubytovanie</t>
  </si>
  <si>
    <t>BV2506021</t>
  </si>
  <si>
    <t>251000175</t>
  </si>
  <si>
    <t>Ubytovanie treneri 112025 treningovy zraz talentovana mladez</t>
  </si>
  <si>
    <t>ALMADA, spol. s r.o., Hať Podharajch 705, 960 01 Zvolen</t>
  </si>
  <si>
    <t>BV2506024</t>
  </si>
  <si>
    <t>250782</t>
  </si>
  <si>
    <t>SCU stunt workshop - talentovaná mládež - ubytovanie tréneri</t>
  </si>
  <si>
    <t>50180185</t>
  </si>
  <si>
    <t>Franko-Real, s.r.o., Ľ. Štúra 11, 960 01 Zvolen</t>
  </si>
  <si>
    <t>BV2506017</t>
  </si>
  <si>
    <t>2500101</t>
  </si>
  <si>
    <t>obedy - ucastnici treningoveho kempu talentovana mladez 10/2025</t>
  </si>
  <si>
    <t>37059831</t>
  </si>
  <si>
    <t>Vladimír Michalek, Jesenského 1486, 960 01 Zvolen</t>
  </si>
  <si>
    <t>42373832</t>
  </si>
  <si>
    <t>45022763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</si>
</sst>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23"/>
      <c r="D1" s="323"/>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4"/>
      <c r="D21" s="324"/>
    </row>
    <row r="22" spans="1:4" x14ac:dyDescent="0.25">
      <c r="C22" s="325"/>
      <c r="D22" s="324"/>
    </row>
    <row r="23" spans="1:4" ht="66" x14ac:dyDescent="0.25">
      <c r="A23" s="23" t="s">
        <v>1380</v>
      </c>
      <c r="C23" s="255"/>
      <c r="D23" s="256"/>
    </row>
    <row r="24" spans="1:4" ht="12.75" customHeight="1" x14ac:dyDescent="0.25">
      <c r="C24" s="321"/>
      <c r="D24" s="322"/>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6" t="s">
        <v>57</v>
      </c>
      <c r="B1" s="326"/>
      <c r="C1" s="326"/>
      <c r="D1" s="326"/>
      <c r="E1" s="326"/>
      <c r="F1" s="326"/>
      <c r="G1" s="326"/>
      <c r="H1" s="326"/>
      <c r="I1" s="52"/>
      <c r="J1" s="37"/>
    </row>
    <row r="2" spans="1:11" ht="15.6" x14ac:dyDescent="0.3">
      <c r="A2" s="332" t="s">
        <v>58</v>
      </c>
      <c r="B2" s="332"/>
      <c r="C2" s="332"/>
      <c r="D2" s="332"/>
      <c r="E2" s="332"/>
      <c r="F2" s="332"/>
      <c r="G2" s="332"/>
      <c r="H2" s="330" t="str">
        <f>+Doklady!I100</f>
        <v>V2</v>
      </c>
      <c r="I2" s="330"/>
    </row>
    <row r="3" spans="1:11" ht="13.8" x14ac:dyDescent="0.25">
      <c r="A3" s="40"/>
      <c r="B3" s="40"/>
      <c r="C3" s="40"/>
      <c r="D3" s="40"/>
      <c r="E3" s="40"/>
      <c r="F3" s="40"/>
      <c r="G3" s="40"/>
      <c r="H3" s="331">
        <f>+Doklady!I101</f>
        <v>45887</v>
      </c>
      <c r="I3" s="331"/>
    </row>
    <row r="4" spans="1:11" ht="15.75" customHeight="1" x14ac:dyDescent="0.25">
      <c r="A4" s="41" t="s">
        <v>59</v>
      </c>
      <c r="B4" s="327" t="s">
        <v>60</v>
      </c>
      <c r="C4" s="328"/>
      <c r="D4" s="328"/>
      <c r="E4" s="32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5" t="s">
        <v>311</v>
      </c>
      <c r="B1" s="336"/>
      <c r="C1" s="174">
        <v>45688</v>
      </c>
      <c r="D1" s="26"/>
      <c r="G1" s="252">
        <v>45688</v>
      </c>
    </row>
    <row r="2" spans="1:7" ht="13.8" x14ac:dyDescent="0.25">
      <c r="A2" s="28"/>
      <c r="B2" s="28"/>
      <c r="G2" s="252">
        <v>45716</v>
      </c>
    </row>
    <row r="3" spans="1:7" ht="13.8" x14ac:dyDescent="0.25">
      <c r="A3" s="30" t="s">
        <v>312</v>
      </c>
      <c r="B3" s="333" t="str">
        <f>INDEX(Adr!B:B,Doklady!B102+1)</f>
        <v>SLOVENSKÁ CHEERLEADING ÚNIA</v>
      </c>
      <c r="C3" s="333"/>
      <c r="D3" s="333"/>
      <c r="G3" s="252">
        <v>45747</v>
      </c>
    </row>
    <row r="4" spans="1:7" ht="13.8" x14ac:dyDescent="0.25">
      <c r="A4" s="30" t="s">
        <v>313</v>
      </c>
      <c r="B4" s="29" t="str">
        <f>RIGHT("0000"&amp;INDEX(Adr!A:A,Doklady!B102+1),8)</f>
        <v>54041368</v>
      </c>
      <c r="G4" s="252">
        <v>45777</v>
      </c>
    </row>
    <row r="5" spans="1:7" ht="13.8" x14ac:dyDescent="0.25">
      <c r="A5" s="30" t="s">
        <v>314</v>
      </c>
      <c r="B5" s="29" t="str">
        <f>INDEX(Adr!D:D,Doklady!B102+1)&amp;", "&amp;INDEX(Adr!E:E,Doklady!B102+1)</f>
        <v>Novozámocká 3212/22, Zvolen</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15790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15790</v>
      </c>
      <c r="G15" s="252"/>
    </row>
    <row r="16" spans="1:7" ht="13.8" x14ac:dyDescent="0.25">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7"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56" t="s">
        <v>1504</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INDEX(Adr!B2:B87,Doklady!B102)</f>
        <v>SLOVENSKÁ CHEERLEADING ÚNIA</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54041368</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Novozámocká 3212/22, Zvolen, 960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7.399999999999999" x14ac:dyDescent="0.3">
      <c r="A11" s="69" t="s">
        <v>319</v>
      </c>
      <c r="B11" s="70" t="s">
        <v>320</v>
      </c>
      <c r="C11" s="126">
        <f>SUMIF(FP!J:J,Doklady!$B$1&amp;A11,FP!D:D)</f>
        <v>15790</v>
      </c>
      <c r="D11" s="126">
        <f>+C11-E11</f>
        <v>15785.72</v>
      </c>
      <c r="E11" s="360">
        <f>+I39-I42+I44-I47</f>
        <v>4.2800000000006548</v>
      </c>
      <c r="F11" s="361"/>
      <c r="J11" s="176"/>
      <c r="L11" s="161" t="str">
        <f>L41</f>
        <v>a - cheerleading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52">
        <f>SUMIF(K:K,A12,I:I)</f>
        <v>0</v>
      </c>
      <c r="F12" s="353"/>
      <c r="J12" s="177"/>
      <c r="L12" s="161" t="str">
        <f>L42</f>
        <v>a - cheerleading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15790</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cheerleading</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1240</v>
      </c>
      <c r="D40" s="78">
        <f>DSUM(Doklady!A103:J10000,"GGG",Spolu!N40:O42)</f>
        <v>741.8</v>
      </c>
      <c r="E40" s="78">
        <f>DSUM(Doklady!A103:J10000,"GGG",Spolu!P40:Q42)</f>
        <v>6613.24</v>
      </c>
      <c r="F40" s="78">
        <f>DSUM(Doklady!A103:J10000,"GGG",Spolu!R40:S42)</f>
        <v>2303</v>
      </c>
      <c r="G40" s="78">
        <f>DSUM(Doklady!A103:J10000,"GGG",Spolu!T40:U42)-H40</f>
        <v>4887.68</v>
      </c>
      <c r="H40" s="78">
        <f>+IFERROR(VLOOKUP(K40&amp;" - kapitálové transfery",B$53:D$90,3,0),0)</f>
        <v>0</v>
      </c>
      <c r="I40" s="73">
        <f>+C40+D40+E40+F40+G40+H40</f>
        <v>15785.72</v>
      </c>
      <c r="J40" s="218" t="str">
        <f>+K45</f>
        <v>.</v>
      </c>
      <c r="K40" s="218" t="str">
        <f>IF(L38&gt;0,INDEX(FP!K:K,Doklady!B2),".")</f>
        <v>cheerleading</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4.2800000000006548</v>
      </c>
      <c r="J41" s="219">
        <f>+K46</f>
        <v>0</v>
      </c>
      <c r="K41" s="219">
        <f>+I41-H41</f>
        <v>4.2800000000006548</v>
      </c>
      <c r="L41" s="161" t="str">
        <f>IF(L38&gt;0,"a - "&amp;INDEX(FP!C:C,Doklady!B2),2)</f>
        <v>a - cheerleading - bežné transfery</v>
      </c>
      <c r="M41" s="120">
        <v>1</v>
      </c>
      <c r="N41" s="161" t="str">
        <f>+L41</f>
        <v>a - cheerleading - bežné transfery</v>
      </c>
      <c r="O41" s="120">
        <v>2</v>
      </c>
      <c r="P41" s="161" t="str">
        <f>+L41</f>
        <v>a - cheerleading - bežné transfery</v>
      </c>
      <c r="Q41" s="120">
        <v>3</v>
      </c>
      <c r="R41" s="161" t="str">
        <f>+L41</f>
        <v>a - cheerleading - bežné transfery</v>
      </c>
      <c r="S41" s="120">
        <v>4</v>
      </c>
      <c r="T41" s="161" t="str">
        <f>+L41</f>
        <v>a - cheerleading - bežné transfery</v>
      </c>
      <c r="U41" s="120">
        <v>5</v>
      </c>
    </row>
    <row r="42" spans="1:21" ht="10.5" customHeight="1" x14ac:dyDescent="0.2">
      <c r="A42" s="115" t="s">
        <v>338</v>
      </c>
      <c r="B42" s="116" t="s">
        <v>380</v>
      </c>
      <c r="C42" s="73">
        <f>+C40</f>
        <v>1240</v>
      </c>
      <c r="D42" s="216">
        <f>+D40</f>
        <v>741.8</v>
      </c>
      <c r="E42" s="216">
        <f>+E40</f>
        <v>6613.24</v>
      </c>
      <c r="F42" s="216">
        <f>+MIN(F39:F40)</f>
        <v>2303</v>
      </c>
      <c r="G42" s="216">
        <f>+MIN(G39+MAX(F39-F40,0)-MAX(E40-E39,0)-MAX(D40-D39,0)-MAX(C40-C39,0),G40)</f>
        <v>4887.68</v>
      </c>
      <c r="H42" s="216">
        <f>+MIN(H39:H40)</f>
        <v>0</v>
      </c>
      <c r="I42" s="73">
        <f>+C42+D42+E42+MIN(F39:F40)+G42+H42</f>
        <v>15785.72</v>
      </c>
      <c r="J42" s="219">
        <f>+K47</f>
        <v>0</v>
      </c>
      <c r="K42" s="219">
        <f>+I42-H42</f>
        <v>15785.72</v>
      </c>
      <c r="L42" s="161" t="str">
        <f>+SUBSTITUTE(L41,"bežné","kapitálové")</f>
        <v>a - cheerleading - kapitálové transfery</v>
      </c>
      <c r="M42" s="120">
        <v>1</v>
      </c>
      <c r="N42" s="161" t="str">
        <f>+L42</f>
        <v>a - cheerleading - kapitálové transfery</v>
      </c>
      <c r="O42" s="120">
        <v>2</v>
      </c>
      <c r="P42" s="161" t="str">
        <f>+L42</f>
        <v>a - cheerleading - kapitálové transfery</v>
      </c>
      <c r="Q42" s="120">
        <v>3</v>
      </c>
      <c r="R42" s="161" t="str">
        <f>+L42</f>
        <v>a - cheerleading - kapitálové transfery</v>
      </c>
      <c r="S42" s="120">
        <v>4</v>
      </c>
      <c r="T42" s="161" t="str">
        <f>+L42</f>
        <v>a - cheerleading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cheerleading - bežné transfery</v>
      </c>
      <c r="C53" s="73">
        <f>IF(A53&lt;&gt;"",INDEX(FP!D:D,Doklady!B$2+(ROW()-53)),"")</f>
        <v>15790</v>
      </c>
      <c r="D53" s="73">
        <f>IF(A53&lt;&gt;"",Doklady!I1-Doklady!J1,"")</f>
        <v>15785.72</v>
      </c>
      <c r="E53" s="73">
        <f>IF(A53&lt;&gt;"",MIN(D53,C53)*Doklady!C1/(1-Doklady!C1),"")</f>
        <v>0</v>
      </c>
      <c r="F53" s="71">
        <f>IF(A53&lt;&gt;"",Doklady!J1,"")</f>
        <v>0</v>
      </c>
      <c r="G53" s="73">
        <f>+IFERROR(HLOOKUP(IF(RIGHT(B53,15)="bežné transfery",LEFT(B53,LEN(B53)-18),0),$J$40:$K$42,3,0),MIN(C53,D53))</f>
        <v>15785.72</v>
      </c>
      <c r="H53" s="71"/>
      <c r="I53" s="73">
        <f>IF(A53&lt;&gt;"",MAX(IF(G53&lt;C53,C53-G53,0)+IF(F53&lt;E53,E53-F53,0),0),0)</f>
        <v>4.2800000000006548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15790</v>
      </c>
      <c r="D130" s="228">
        <f t="shared" ref="D130:I130" si="9">SUM(D53:D129)</f>
        <v>15785.72</v>
      </c>
      <c r="E130" s="228">
        <f t="shared" si="9"/>
        <v>0</v>
      </c>
      <c r="F130" s="228">
        <f t="shared" si="9"/>
        <v>0</v>
      </c>
      <c r="G130" s="228">
        <f t="shared" si="9"/>
        <v>15785.72</v>
      </c>
      <c r="H130" s="228">
        <f t="shared" si="9"/>
        <v>0</v>
      </c>
      <c r="I130" s="228">
        <f t="shared" si="9"/>
        <v>4.2800000000006548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67"/>
      <c r="E140" s="367"/>
      <c r="F140" s="367"/>
      <c r="G140" s="367"/>
      <c r="H140" s="367"/>
      <c r="I140" s="367"/>
      <c r="J140" s="85"/>
    </row>
    <row r="141" spans="1:26" ht="68.25" customHeight="1" x14ac:dyDescent="0.25">
      <c r="A141" s="9"/>
      <c r="B141" s="283" t="s">
        <v>397</v>
      </c>
      <c r="C141" s="214"/>
      <c r="D141" s="351" t="s">
        <v>398</v>
      </c>
      <c r="E141" s="351"/>
      <c r="F141" s="351"/>
      <c r="G141" s="351"/>
      <c r="H141" s="351"/>
      <c r="I141" s="35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verticalDpi="300"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11" zoomScaleNormal="100" workbookViewId="0">
      <selection activeCell="E129" sqref="E12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cheerleading - bežné transfery</v>
      </c>
      <c r="B1" s="232" t="str">
        <f>INDEX(Adr!A:A,B102+1)</f>
        <v>54041368</v>
      </c>
      <c r="C1" s="233">
        <f>IF(ROW()&lt;=B$3,INDEX(FP!E:E,B$2+ROW()-1),"")</f>
        <v>0</v>
      </c>
      <c r="D1" s="234" t="str">
        <f>IF(ROW()&lt;=B$3,INDEX(FP!F:F,B$2+ROW()-1),"")</f>
        <v>a</v>
      </c>
      <c r="E1" s="234"/>
      <c r="F1" s="234" t="str">
        <f>IF(ROW()&lt;=B$3,INDEX(FP!G:G,B$2+ROW()-1),"")</f>
        <v>026 02</v>
      </c>
      <c r="G1" s="234"/>
      <c r="H1" s="235" t="str">
        <f>IF(ROW()&lt;=B$3,INDEX(FP!C:C,B$2+ROW()-1),"")</f>
        <v>cheerleading - bežné transfery</v>
      </c>
      <c r="I1" s="236">
        <f t="shared" ref="I1:I6" si="0">IF(ROW()&lt;=B$3,SUMIF(A$107:A$10042,A1,I$107:I$10042),"")</f>
        <v>15785.72</v>
      </c>
      <c r="J1" s="236">
        <f t="shared" ref="J1:J32" si="1">IF(ROW()&lt;=B$3,SUMIFS(I$103:I$50042,A$103:A$50042,K1,J$103:J$50042,L1),"")</f>
        <v>0</v>
      </c>
      <c r="K1" s="110" t="str">
        <f>$A1</f>
        <v>a - cheerleading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14" t="s">
        <v>1505</v>
      </c>
      <c r="B100" s="314"/>
      <c r="C100" s="314"/>
      <c r="D100" s="314"/>
      <c r="E100" s="314"/>
      <c r="F100" s="314"/>
      <c r="G100" s="314"/>
      <c r="H100" s="314"/>
      <c r="I100" s="316" t="s">
        <v>1488</v>
      </c>
      <c r="J100" s="316"/>
      <c r="K100" s="89"/>
    </row>
    <row r="101" spans="1:25" ht="15.6" x14ac:dyDescent="0.3">
      <c r="A101" s="317"/>
      <c r="B101" s="317"/>
      <c r="C101" s="317"/>
      <c r="D101" s="317"/>
      <c r="E101" s="317"/>
      <c r="F101" s="317"/>
      <c r="G101" s="317"/>
      <c r="H101" s="317"/>
      <c r="I101" s="315">
        <v>45887</v>
      </c>
      <c r="J101" s="315"/>
    </row>
    <row r="102" spans="1:25" ht="13.8" x14ac:dyDescent="0.25">
      <c r="A102" s="249" t="s">
        <v>403</v>
      </c>
      <c r="B102" s="250">
        <v>20</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1506</v>
      </c>
      <c r="B107" s="14" t="s">
        <v>1507</v>
      </c>
      <c r="C107" s="14" t="s">
        <v>1508</v>
      </c>
      <c r="D107" s="16">
        <v>45693</v>
      </c>
      <c r="E107" s="16"/>
      <c r="F107" s="14" t="s">
        <v>1509</v>
      </c>
      <c r="G107" s="14"/>
      <c r="H107" s="14" t="s">
        <v>1510</v>
      </c>
      <c r="I107" s="15">
        <v>1000</v>
      </c>
      <c r="J107" s="77">
        <v>4</v>
      </c>
      <c r="K107" s="92"/>
    </row>
    <row r="108" spans="1:25" ht="20.399999999999999" x14ac:dyDescent="0.25">
      <c r="A108" s="14" t="s">
        <v>1506</v>
      </c>
      <c r="B108" s="14" t="s">
        <v>1511</v>
      </c>
      <c r="C108" s="14" t="s">
        <v>1512</v>
      </c>
      <c r="D108" s="16">
        <v>45723</v>
      </c>
      <c r="E108" s="16"/>
      <c r="F108" s="14" t="s">
        <v>1513</v>
      </c>
      <c r="G108" s="14" t="s">
        <v>1514</v>
      </c>
      <c r="H108" s="14" t="s">
        <v>1515</v>
      </c>
      <c r="I108" s="15">
        <v>1054.6300000000001</v>
      </c>
      <c r="J108" s="77">
        <v>5</v>
      </c>
      <c r="K108" s="92"/>
    </row>
    <row r="109" spans="1:25" ht="20.399999999999999" x14ac:dyDescent="0.25">
      <c r="A109" s="14" t="s">
        <v>1506</v>
      </c>
      <c r="B109" s="14" t="s">
        <v>1516</v>
      </c>
      <c r="C109" s="14" t="s">
        <v>1517</v>
      </c>
      <c r="D109" s="16">
        <v>45738</v>
      </c>
      <c r="E109" s="16"/>
      <c r="F109" s="14" t="s">
        <v>1518</v>
      </c>
      <c r="G109" s="14" t="s">
        <v>1519</v>
      </c>
      <c r="H109" s="14" t="s">
        <v>1520</v>
      </c>
      <c r="I109" s="15">
        <v>3733.05</v>
      </c>
      <c r="J109" s="77">
        <v>5</v>
      </c>
      <c r="K109" s="92"/>
    </row>
    <row r="110" spans="1:25" ht="30.6" x14ac:dyDescent="0.25">
      <c r="A110" s="14" t="s">
        <v>1506</v>
      </c>
      <c r="B110" s="14" t="s">
        <v>1521</v>
      </c>
      <c r="C110" s="14" t="s">
        <v>1522</v>
      </c>
      <c r="D110" s="16">
        <v>45761</v>
      </c>
      <c r="E110" s="16"/>
      <c r="F110" s="14" t="s">
        <v>1523</v>
      </c>
      <c r="G110" s="14"/>
      <c r="H110" s="14" t="s">
        <v>1524</v>
      </c>
      <c r="I110" s="15">
        <v>5719.93</v>
      </c>
      <c r="J110" s="77">
        <v>3</v>
      </c>
      <c r="K110" s="92"/>
    </row>
    <row r="111" spans="1:25" ht="20.399999999999999" x14ac:dyDescent="0.25">
      <c r="A111" s="14" t="s">
        <v>1506</v>
      </c>
      <c r="B111" s="14" t="s">
        <v>1525</v>
      </c>
      <c r="C111" s="14"/>
      <c r="D111" s="16">
        <v>45761</v>
      </c>
      <c r="E111" s="16"/>
      <c r="F111" s="14" t="s">
        <v>1526</v>
      </c>
      <c r="G111" s="14"/>
      <c r="H111" s="14" t="s">
        <v>1527</v>
      </c>
      <c r="I111" s="15">
        <v>8</v>
      </c>
      <c r="J111" s="77">
        <v>4</v>
      </c>
      <c r="K111" s="92"/>
    </row>
    <row r="112" spans="1:25" ht="40.799999999999997" x14ac:dyDescent="0.25">
      <c r="A112" s="14" t="s">
        <v>1506</v>
      </c>
      <c r="B112" s="14" t="s">
        <v>1528</v>
      </c>
      <c r="C112" s="14"/>
      <c r="D112" s="16">
        <v>45764</v>
      </c>
      <c r="E112" s="16"/>
      <c r="F112" s="14" t="s">
        <v>1529</v>
      </c>
      <c r="G112" s="14"/>
      <c r="H112" s="14" t="s">
        <v>1530</v>
      </c>
      <c r="I112" s="15">
        <v>435.41</v>
      </c>
      <c r="J112" s="77">
        <v>3</v>
      </c>
      <c r="K112" s="92"/>
    </row>
    <row r="113" spans="1:11" ht="20.399999999999999" x14ac:dyDescent="0.25">
      <c r="A113" s="14" t="s">
        <v>1506</v>
      </c>
      <c r="B113" s="14" t="s">
        <v>1531</v>
      </c>
      <c r="C113" s="14" t="s">
        <v>1532</v>
      </c>
      <c r="D113" s="16">
        <v>45790</v>
      </c>
      <c r="E113" s="16"/>
      <c r="F113" s="14" t="s">
        <v>1533</v>
      </c>
      <c r="G113" s="14"/>
      <c r="H113" s="14" t="s">
        <v>1534</v>
      </c>
      <c r="I113" s="15">
        <v>100</v>
      </c>
      <c r="J113" s="77">
        <v>5</v>
      </c>
      <c r="K113" s="92"/>
    </row>
    <row r="114" spans="1:11" ht="30.6" x14ac:dyDescent="0.25">
      <c r="A114" s="14" t="s">
        <v>1506</v>
      </c>
      <c r="B114" s="14" t="s">
        <v>1535</v>
      </c>
      <c r="C114" s="14" t="s">
        <v>1536</v>
      </c>
      <c r="D114" s="16">
        <v>45789</v>
      </c>
      <c r="E114" s="16"/>
      <c r="F114" s="14" t="s">
        <v>1537</v>
      </c>
      <c r="G114" s="14" t="s">
        <v>1538</v>
      </c>
      <c r="H114" s="14" t="s">
        <v>1539</v>
      </c>
      <c r="I114" s="15">
        <v>1295</v>
      </c>
      <c r="J114" s="77">
        <v>4</v>
      </c>
      <c r="K114" s="92"/>
    </row>
    <row r="115" spans="1:11" ht="20.399999999999999" x14ac:dyDescent="0.25">
      <c r="A115" s="14" t="s">
        <v>1506</v>
      </c>
      <c r="B115" s="14" t="s">
        <v>1540</v>
      </c>
      <c r="C115" s="14" t="s">
        <v>1541</v>
      </c>
      <c r="D115" s="16">
        <v>45839</v>
      </c>
      <c r="E115" s="16"/>
      <c r="F115" s="14" t="s">
        <v>1542</v>
      </c>
      <c r="G115" s="14" t="s">
        <v>1569</v>
      </c>
      <c r="H115" s="14" t="s">
        <v>1543</v>
      </c>
      <c r="I115" s="15">
        <v>960</v>
      </c>
      <c r="J115" s="77">
        <v>1</v>
      </c>
      <c r="K115" s="92"/>
    </row>
    <row r="116" spans="1:11" ht="20.399999999999999" x14ac:dyDescent="0.25">
      <c r="A116" s="14" t="s">
        <v>1506</v>
      </c>
      <c r="B116" s="14" t="s">
        <v>1544</v>
      </c>
      <c r="C116" s="14" t="s">
        <v>1545</v>
      </c>
      <c r="D116" s="16">
        <v>45839</v>
      </c>
      <c r="E116" s="16"/>
      <c r="F116" s="14" t="s">
        <v>1546</v>
      </c>
      <c r="G116" s="14" t="s">
        <v>1570</v>
      </c>
      <c r="H116" s="14" t="s">
        <v>1547</v>
      </c>
      <c r="I116" s="15">
        <v>150</v>
      </c>
      <c r="J116" s="77">
        <v>1</v>
      </c>
      <c r="K116" s="92"/>
    </row>
    <row r="117" spans="1:11" ht="20.399999999999999" x14ac:dyDescent="0.25">
      <c r="A117" s="14" t="s">
        <v>1506</v>
      </c>
      <c r="B117" s="14" t="s">
        <v>1548</v>
      </c>
      <c r="C117" s="14" t="s">
        <v>1549</v>
      </c>
      <c r="D117" s="16">
        <v>45884</v>
      </c>
      <c r="E117" s="16"/>
      <c r="F117" s="14" t="s">
        <v>1550</v>
      </c>
      <c r="G117" s="14">
        <v>37944258</v>
      </c>
      <c r="H117" s="14" t="s">
        <v>1551</v>
      </c>
      <c r="I117" s="15">
        <v>130</v>
      </c>
      <c r="J117" s="77">
        <v>1</v>
      </c>
      <c r="K117" s="92"/>
    </row>
    <row r="118" spans="1:11" ht="20.399999999999999" x14ac:dyDescent="0.25">
      <c r="A118" s="14" t="s">
        <v>1506</v>
      </c>
      <c r="B118" s="14" t="s">
        <v>1552</v>
      </c>
      <c r="C118" s="14" t="s">
        <v>1553</v>
      </c>
      <c r="D118" s="16">
        <v>45897</v>
      </c>
      <c r="E118" s="16"/>
      <c r="F118" s="14" t="s">
        <v>1554</v>
      </c>
      <c r="G118" s="14" t="s">
        <v>1562</v>
      </c>
      <c r="H118" s="14" t="s">
        <v>1563</v>
      </c>
      <c r="I118" s="15">
        <v>457.9</v>
      </c>
      <c r="J118" s="77">
        <v>3</v>
      </c>
      <c r="K118" s="92"/>
    </row>
    <row r="119" spans="1:11" ht="20.399999999999999" x14ac:dyDescent="0.25">
      <c r="A119" s="14" t="s">
        <v>1506</v>
      </c>
      <c r="B119" s="14" t="s">
        <v>1555</v>
      </c>
      <c r="C119" s="14" t="s">
        <v>1556</v>
      </c>
      <c r="D119" s="16">
        <v>45973</v>
      </c>
      <c r="E119" s="16"/>
      <c r="F119" s="14" t="s">
        <v>1557</v>
      </c>
      <c r="G119" s="14" t="s">
        <v>585</v>
      </c>
      <c r="H119" s="14" t="s">
        <v>1558</v>
      </c>
      <c r="I119" s="15">
        <v>103</v>
      </c>
      <c r="J119" s="77">
        <v>2</v>
      </c>
      <c r="K119" s="92"/>
    </row>
    <row r="120" spans="1:11" ht="20.399999999999999" x14ac:dyDescent="0.25">
      <c r="A120" s="14" t="s">
        <v>1506</v>
      </c>
      <c r="B120" s="14" t="s">
        <v>1559</v>
      </c>
      <c r="C120" s="14" t="s">
        <v>1560</v>
      </c>
      <c r="D120" s="16">
        <v>45989</v>
      </c>
      <c r="E120" s="16"/>
      <c r="F120" s="14" t="s">
        <v>1561</v>
      </c>
      <c r="G120" s="14" t="s">
        <v>1562</v>
      </c>
      <c r="H120" s="14" t="s">
        <v>1563</v>
      </c>
      <c r="I120" s="15">
        <v>248.8</v>
      </c>
      <c r="J120" s="77">
        <v>2</v>
      </c>
      <c r="K120" s="92"/>
    </row>
    <row r="121" spans="1:11" ht="20.399999999999999" x14ac:dyDescent="0.25">
      <c r="A121" s="14" t="s">
        <v>1506</v>
      </c>
      <c r="B121" s="14" t="s">
        <v>1564</v>
      </c>
      <c r="C121" s="14" t="s">
        <v>1565</v>
      </c>
      <c r="D121" s="16">
        <v>45946</v>
      </c>
      <c r="E121" s="16"/>
      <c r="F121" s="14" t="s">
        <v>1566</v>
      </c>
      <c r="G121" s="14" t="s">
        <v>1567</v>
      </c>
      <c r="H121" s="14" t="s">
        <v>1568</v>
      </c>
      <c r="I121" s="15">
        <v>390</v>
      </c>
      <c r="J121" s="77">
        <v>2</v>
      </c>
      <c r="K121" s="92"/>
    </row>
    <row r="122" spans="1:11" ht="13.2" x14ac:dyDescent="0.25">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121 A123: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23:F5000 F107:F121" xr:uid="{255B499D-B3E6-47A9-A857-DBFE56F071D9}">
      <formula1>$F$96:$F$99</formula1>
    </dataValidation>
    <dataValidation type="list" allowBlank="1" showInputMessage="1" showErrorMessage="1" sqref="A123:A5000 A107:A121" xr:uid="{540C0DA9-E9CD-4805-B659-E67C1C32B21C}">
      <formula1>OFFSET($A$1,0,0,$B$3,1)</formula1>
    </dataValidation>
    <dataValidation allowBlank="1" sqref="G123:G5000 G107:G121" xr:uid="{B36265DD-F5DD-4F0A-AD93-4A0388363C0B}"/>
    <dataValidation type="list" allowBlank="1" showInputMessage="1" showErrorMessage="1" errorTitle="Chyba !" error="zadajte (vyberte zo zoznamu) platný analytický kód podľa nápovedy k bunke I104" sqref="J123:J10000 J107:J12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85" orientation="landscape" verticalDpi="300" r:id="rId1"/>
  <headerFooter>
    <oddFooter>Strana &amp;P</oddFooter>
  </headerFooter>
  <rowBreaks count="1" manualBreakCount="1">
    <brk id="12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SLOVENSKÁ CHEERLEADING ÚNIA, Novozámocká 3212/22, Zvolen, 960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54041368</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opLeftCell="A12"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SLOVENSKÁ CHEERLEADING ÚNIA, Novozámocká 3212/22, Zvolen, 960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54041368</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Andrea Michalovičová</cp:lastModifiedBy>
  <cp:revision/>
  <cp:lastPrinted>2026-04-14T14:33:35Z</cp:lastPrinted>
  <dcterms:created xsi:type="dcterms:W3CDTF">2017-02-20T06:20:12Z</dcterms:created>
  <dcterms:modified xsi:type="dcterms:W3CDTF">2026-04-15T10:19:50Z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