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BF2083F6-B6B6-4F83-9395-605A0F111F02}"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<sst xmlns="http://schemas.openxmlformats.org/spreadsheetml/2006/main" count="5390" uniqueCount="2557">
  <si>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</si>
  <si>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</si>
  <si>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</si>
  <si>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</si>
  <si>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</si>
  <si>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</si>
  <si>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</si>
  <si>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</si>
  <si>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</si>
  <si>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</si>
  <si>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</si>
  <si>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</si>
  <si>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</si>
  <si>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</si>
  <si>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</si>
  <si>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</si>
  <si>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</si>
  <si>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</si>
  <si>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</si>
  <si>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</si>
  <si>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</si>
  <si>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</si>
  <si>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</si>
  <si>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</si>
  <si>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</si>
  <si>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</si>
  <si>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</si>
  <si>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</si>
  <si>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</si>
  <si>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</si>
  <si>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</si>
  <si>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</si>
  <si>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</si>
  <si>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</si>
  <si>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</si>
  <si>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</si>
  <si>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</si>
  <si>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</si>
  <si>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</si>
  <si>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</si>
  <si>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</si>
  <si>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</si>
  <si>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</si>
  <si>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</si>
  <si>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</si>
  <si>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</si>
  <si>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</si>
  <si>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</si>
  <si>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</si>
  <si>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</si>
  <si>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</si>
  <si>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</si>
  <si>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</si>
  <si>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</si>
  <si>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</si>
  <si>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</si>
  <si>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</si>
  <si>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</si>
  <si>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</si>
  <si>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</si>
  <si>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</si>
  <si>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</si>
  <si>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</si>
  <si>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</si>
  <si>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</si>
  <si>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</si>
  <si>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</si>
  <si>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</si>
  <si>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</si>
  <si>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</si>
  <si>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</si>
  <si>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</si>
  <si>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</si>
  <si>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</si>
  <si>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</si>
  <si>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</si>
  <si>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</si>
  <si>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</si>
  <si>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</si>
  <si>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</si>
  <si>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</si>
  <si>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</si>
  <si>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</si>
  <si>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</si>
  <si>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</si>
  <si>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</si>
  <si>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</si>
  <si>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</si>
  <si>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</si>
  <si>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</si>
  <si>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</si>
  <si>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</si>
  <si>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</si>
  <si>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</si>
  <si>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</si>
  <si>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</si>
  <si>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</si>
  <si>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</si>
  <si>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</si>
  <si>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</si>
  <si>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</si>
  <si>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</si>
  <si>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</si>
  <si>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</si>
  <si>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</si>
  <si>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</si>
  <si>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</si>
  <si>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</si>
  <si>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</si>
  <si>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</si>
  <si>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</si>
  <si>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</si>
  <si>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</si>
  <si>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</si>
  <si>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</si>
  <si>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</si>
  <si>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</si>
  <si>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</si>
  <si>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</si>
  <si>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</si>
  <si>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</si>
  <si>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</si>
  <si>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</si>
  <si>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</si>
  <si>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</si>
  <si>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</si>
  <si>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</si>
  <si>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</si>
  <si>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</si>
  <si>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</si>
  <si>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</si>
  <si>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</si>
  <si>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</si>
  <si>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</si>
  <si>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</si>
  <si>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</si>
  <si>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</si>
  <si>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</si>
  <si>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</si>
  <si>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</si>
  <si>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</si>
  <si>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</si>
  <si>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</si>
  <si>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</si>
  <si>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</si>
  <si>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</si>
  <si>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</si>
  <si>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</si>
  <si>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</si>
  <si>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</si>
  <si>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</si>
  <si>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</si>
  <si>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</si>
  <si>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</si>
  <si>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</si>
  <si>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</si>
  <si>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</si>
  <si>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</si>
  <si>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</si>
  <si>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</si>
  <si>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</si>
  <si>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</si>
  <si>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</si>
  <si>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</si>
  <si>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</si>
  <si>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</si>
  <si>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</si>
  <si>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</si>
  <si>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</si>
  <si>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</si>
  <si>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</si>
  <si>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</si>
  <si>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</si>
  <si>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</si>
  <si>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</si>
  <si>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</si>
  <si>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</si>
  <si>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</si>
  <si>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</si>
  <si>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</si>
  <si>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</si>
  <si>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</si>
  <si>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</si>
  <si>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</si>
  <si>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</si>
  <si>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</si>
  <si>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</si>
  <si>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</si>
  <si>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</si>
  <si>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</si>
  <si>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</si>
  <si>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</si>
  <si>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</si>
  <si>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</si>
  <si>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</si>
  <si>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</si>
  <si>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</si>
  <si>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</si>
  <si>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</si>
  <si>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</si>
  <si>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</si>
  <si>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</si>
  <si>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</si>
  <si>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</si>
  <si>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</si>
  <si>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</si>
  <si>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</si>
  <si>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</si>
  <si>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</si>
  <si>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</si>
  <si>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</si>
  <si>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</si>
  <si>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</si>
  <si>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</si>
  <si>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</si>
  <si>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</si>
  <si>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</si>
  <si>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</si>
  <si>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</si>
  <si>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</si>
  <si>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</si>
  <si>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</si>
  <si>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</si>
  <si>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</si>
  <si>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</si>
  <si>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</si>
  <si>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</si>
  <si>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</si>
  <si>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</si>
  <si>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</si>
  <si>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</si>
  <si>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</si>
  <si>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</si>
  <si>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</si>
  <si>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</si>
  <si>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</si>
  <si>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</si>
  <si>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</si>
  <si>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</si>
  <si>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</si>
  <si>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</si>
  <si>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</si>
  <si>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</si>
  <si>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</si>
  <si>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</si>
  <si>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</si>
  <si>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</si>
  <si>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</si>
  <si>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</si>
  <si>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</si>
  <si>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</si>
  <si>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</si>
  <si>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</si>
  <si>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</si>
  <si>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</si>
  <si>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</si>
  <si>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</si>
  <si>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</si>
  <si>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</si>
  <si>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</si>
  <si>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</si>
  <si>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</si>
  <si>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</si>
  <si>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</si>
  <si>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</si>
  <si>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</si>
  <si>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</si>
  <si>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</si>
  <si>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</si>
  <si>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</si>
  <si>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</si>
  <si>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</si>
  <si>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</si>
  <si>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</si>
  <si>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</si>
  <si>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</si>
  <si>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</si>
  <si>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</si>
  <si>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</si>
  <si>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</si>
  <si>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</si>
  <si>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</si>
  <si>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</si>
  <si>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</si>
  <si>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</si>
  <si>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</si>
  <si>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</si>
  <si>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</si>
  <si>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</si>
  <si>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</si>
  <si>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</si>
  <si>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</si>
  <si>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</si>
  <si>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</si>
  <si>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</si>
  <si>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</si>
  <si>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</si>
  <si>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</si>
  <si>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</si>
  <si>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</si>
  <si>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</si>
  <si>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</si>
  <si>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</si>
  <si>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</si>
  <si>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</si>
  <si>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</si>
  <si>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</si>
  <si>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</si>
  <si>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</si>
  <si>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</si>
  <si>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</si>
  <si>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</si>
  <si>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</si>
  <si>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</si>
  <si>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</si>
  <si>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</si>
  <si>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</si>
  <si>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</si>
  <si>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</si>
  <si>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</si>
  <si>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</si>
  <si>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</si>
  <si>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</si>
  <si>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</si>
  <si>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</si>
  <si>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</si>
  <si>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</si>
  <si>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</si>
  <si>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</si>
  <si>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</si>
  <si>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</si>
  <si>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</si>
  <si>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</si>
  <si>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</si>
  <si>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</si>
  <si>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</si>
  <si>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</si>
  <si>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</si>
  <si>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</si>
  <si>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</si>
  <si>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</si>
  <si>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</si>
  <si>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</si>
  <si>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</si>
  <si>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</si>
  <si>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</si>
  <si>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</si>
  <si>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</si>
  <si>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</si>
  <si>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</si>
  <si>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</si>
  <si>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</si>
  <si>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</si>
  <si>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</si>
  <si>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</si>
  <si>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</si>
  <si>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</si>
  <si>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</si>
  <si>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</si>
  <si>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</si>
  <si>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</si>
  <si>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</si>
  <si>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</si>
  <si>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</si>
  <si>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</si>
  <si>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</si>
  <si>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</si>
  <si>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</si>
  <si>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</si>
  <si>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</si>
  <si>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</si>
  <si>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</si>
  <si>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</si>
  <si>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</si>
  <si>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</si>
  <si>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</si>
  <si>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</si>
  <si>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</si>
  <si>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</si>
  <si>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</si>
  <si>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</si>
  <si>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</si>
  <si>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</si>
  <si>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</si>
  <si>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</si>
  <si>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</si>
  <si>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</si>
  <si>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</si>
  <si>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</si>
  <si>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</si>
  <si>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</si>
  <si>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</si>
  <si>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</si>
  <si>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</si>
  <si>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</si>
  <si>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</si>
  <si>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</si>
  <si>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</si>
  <si>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</si>
  <si>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</si>
  <si>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</si>
  <si>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</si>
  <si>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</si>
  <si>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</si>
  <si>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</si>
  <si>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</si>
  <si>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</si>
  <si>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</si>
  <si>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</si>
  <si>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</si>
  <si>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</si>
  <si>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</si>
  <si>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</si>
  <si>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</si>
  <si>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</si>
  <si>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</si>
  <si>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</si>
  <si>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</si>
  <si>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</si>
  <si>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</si>
  <si>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</si>
  <si>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</si>
  <si>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</si>
  <si>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</si>
  <si>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</si>
  <si>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</si>
  <si>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</si>
  <si>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</si>
  <si>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</si>
  <si>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</si>
  <si>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</si>
  <si>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</si>
  <si>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</si>
  <si>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</si>
  <si>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</si>
  <si>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</si>
  <si>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</si>
  <si>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</si>
  <si>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</si>
  <si>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</si>
  <si>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</si>
  <si>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</si>
  <si>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</si>
  <si>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</si>
  <si>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</si>
  <si>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</si>
  <si>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</si>
  <si>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</si>
  <si>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</si>
  <si>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</si>
  <si>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</si>
  <si>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</si>
  <si>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</si>
  <si>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</si>
  <si>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</si>
  <si>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</si>
  <si>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</si>
  <si>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</si>
  <si>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</si>
  <si>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</si>
  <si>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</si>
  <si>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</si>
  <si>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</si>
  <si>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</si>
  <si>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</si>
  <si>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</si>
  <si>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</si>
  <si>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</si>
  <si>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</si>
  <si>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</si>
  <si>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</si>
  <si>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</si>
  <si>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</si>
  <si>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</si>
  <si>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</si>
  <si>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</si>
  <si>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</si>
  <si>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</si>
  <si>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</si>
  <si>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</si>
  <si>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</si>
  <si>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</si>
  <si>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</si>
  <si>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</si>
  <si>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</si>
  <si>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</si>
  <si>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</si>
  <si>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</si>
  <si>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</si>
  <si>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</si>
  <si>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</si>
  <si>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</si>
  <si>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</si>
  <si>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</si>
  <si>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</si>
  <si>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</si>
  <si>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</si>
  <si>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</si>
  <si>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</si>
  <si>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</si>
  <si>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</si>
  <si>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</si>
  <si>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</si>
  <si>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</si>
  <si>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</si>
  <si>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</si>
  <si>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</si>
  <si>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</si>
  <si>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</si>
  <si>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</si>
  <si>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</si>
  <si>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</si>
  <si>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</si>
  <si>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</si>
  <si>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</si>
  <si>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</si>
  <si>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</si>
  <si>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</si>
  <si>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</si>
  <si>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</si>
  <si>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</si>
  <si>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</si>
  <si>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</si>
  <si>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</si>
  <si>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</si>
  <si>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</si>
  <si>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</si>
  <si>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</si>
  <si>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</si>
  <si>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</si>
  <si>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</si>
  <si>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</si>
  <si>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</si>
  <si>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</si>
  <si>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</si>
  <si>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</si>
  <si>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</si>
  <si>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</si>
  <si>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</si>
  <si>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</si>
  <si>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</si>
  <si>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</si>
  <si>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</si>
  <si>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</si>
  <si>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</si>
  <si>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</si>
  <si>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</si>
  <si>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</si>
  <si>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</si>
  <si>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</si>
  <si>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</si>
  <si>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</si>
  <si>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</si>
  <si>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</si>
  <si>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</si>
  <si>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</si>
  <si>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</si>
  <si>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</si>
  <si>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</si>
  <si>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</si>
  <si>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</si>
  <si>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</si>
  <si>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</si>
  <si>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</si>
  <si>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</si>
  <si>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</si>
  <si>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</si>
  <si>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</si>
  <si>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</si>
  <si>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</si>
  <si>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</si>
  <si>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</si>
  <si>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</si>
  <si>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</si>
  <si>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</si>
  <si>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</si>
  <si>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</si>
  <si>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</si>
  <si>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</si>
  <si>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</si>
  <si>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</si>
  <si>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</si>
  <si>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</si>
  <si>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</si>
  <si>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</si>
  <si>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</si>
  <si>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</si>
  <si>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</si>
  <si>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</si>
  <si>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</si>
  <si>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</si>
  <si>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</si>
  <si>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</si>
  <si>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</si>
  <si>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</si>
  <si>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</si>
  <si>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</si>
  <si>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</si>
  <si>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</si>
  <si>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</si>
  <si>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</si>
  <si>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</si>
  <si>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</si>
  <si>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</si>
  <si>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</si>
  <si>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</si>
  <si>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</si>
  <si>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</si>
  <si>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</si>
  <si>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</si>
  <si>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</si>
  <si>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</si>
  <si>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</si>
  <si>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</si>
  <si>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</si>
  <si>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</si>
  <si>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</si>
  <si>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</si>
  <si>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</si>
  <si>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</si>
  <si>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</si>
  <si>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</si>
  <si>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</si>
  <si>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</si>
  <si>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</si>
  <si>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</si>
  <si>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</si>
  <si>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</si>
  <si>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</si>
  <si>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</si>
  <si>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</si>
  <si>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</si>
  <si>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</si>
  <si>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</si>
  <si>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</si>
  <si>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</si>
  <si>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</si>
  <si>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</si>
  <si>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</si>
  <si>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</si>
  <si>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</si>
  <si>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</si>
  <si>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</si>
  <si>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</si>
  <si>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</si>
  <si>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</si>
  <si>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</si>
  <si>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</si>
  <si>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</si>
  <si>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</si>
  <si>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</si>
  <si>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</si>
  <si>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</si>
  <si>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</si>
  <si>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</si>
  <si>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</si>
  <si>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</si>
  <si>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</si>
  <si>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</si>
  <si>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</si>
  <si>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</si>
  <si>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</si>
  <si>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</si>
  <si>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</si>
  <si>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</si>
  <si>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</si>
  <si>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</si>
  <si>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</si>
  <si>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</si>
  <si>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</si>
  <si>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</si>
  <si>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</si>
  <si>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</si>
  <si>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</si>
  <si>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</si>
  <si>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</si>
  <si>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</si>
  <si>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</si>
  <si>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</si>
  <si>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</si>
  <si>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</si>
  <si>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</si>
  <si>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</si>
  <si>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</si>
  <si>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</si>
  <si>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</si>
  <si>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</si>
  <si>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</si>
  <si>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</si>
  <si>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</si>
  <si>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</si>
  <si>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</si>
  <si>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</si>
  <si>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</si>
  <si>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</si>
  <si>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</si>
  <si>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</si>
  <si>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</si>
  <si>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</si>
  <si>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</si>
  <si>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</si>
  <si>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</si>
  <si>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</si>
  <si>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</si>
  <si>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</si>
  <si>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</si>
  <si>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</si>
  <si>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</si>
  <si>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</si>
  <si>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</si>
  <si>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</si>
  <si>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</si>
  <si>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</si>
  <si>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</si>
  <si>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</si>
  <si>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</si>
  <si>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</si>
  <si>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</si>
  <si>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</si>
  <si>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</si>
  <si>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</si>
  <si>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</si>
  <si>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</si>
  <si>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</si>
  <si>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</si>
  <si>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</si>
  <si>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</si>
  <si>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</si>
  <si>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</si>
  <si>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</si>
  <si>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</si>
  <si>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</si>
  <si>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</si>
  <si>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</si>
  <si>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</si>
  <si>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</si>
  <si>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</si>
  <si>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</si>
  <si>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</si>
  <si>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</si>
  <si>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</si>
  <si>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</si>
  <si>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</si>
  <si>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</si>
  <si>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</si>
  <si>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</si>
  <si>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</si>
  <si>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</si>
  <si>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</si>
  <si>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</si>
  <si>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</si>
  <si>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</si>
  <si>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</si>
  <si>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</si>
  <si>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</si>
  <si>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</si>
  <si>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</si>
  <si>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</si>
  <si>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</si>
  <si>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</si>
  <si>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</si>
  <si>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</si>
  <si>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</si>
  <si>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</si>
  <si>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</si>
  <si>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</si>
  <si>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</si>
  <si>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</si>
  <si>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</si>
  <si>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</si>
  <si>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</si>
  <si>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</si>
  <si>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</si>
  <si>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</si>
  <si>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</si>
  <si>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</si>
  <si>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</si>
  <si>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</si>
  <si>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</si>
  <si>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</si>
  <si>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</si>
  <si>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</si>
  <si>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</si>
  <si>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</si>
  <si>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</si>
  <si>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</si>
  <si>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</si>
  <si>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</si>
  <si>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</si>
  <si>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</si>
  <si>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</si>
  <si>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</si>
  <si>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</si>
  <si>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</si>
  <si>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</si>
  <si>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</si>
  <si>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</si>
  <si>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</si>
  <si>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</si>
  <si>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</si>
  <si>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</si>
  <si>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</si>
  <si>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</si>
  <si>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</si>
  <si>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</si>
  <si>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</si>
  <si>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</si>
  <si>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</si>
  <si>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</si>
  <si>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</si>
  <si>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</si>
  <si>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</si>
  <si>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</si>
  <si>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</si>
  <si>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</si>
  <si>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</si>
  <si>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</si>
  <si>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</si>
  <si>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</si>
  <si>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</si>
  <si>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</si>
  <si>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</si>
  <si>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</si>
  <si>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</si>
  <si>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</si>
  <si>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</si>
  <si>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</si>
  <si>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</si>
  <si>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</si>
  <si>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</si>
  <si>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</si>
  <si>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</si>
  <si>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</si>
  <si>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</si>
  <si>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</si>
  <si>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</si>
  <si>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</si>
  <si>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</si>
  <si>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</si>
  <si>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</si>
  <si>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</si>
  <si>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</si>
  <si>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</si>
  <si>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</si>
  <si>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</si>
  <si>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</si>
  <si>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</si>
  <si>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</si>
  <si>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</si>
  <si>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</si>
  <si>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</si>
  <si>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</si>
  <si>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</si>
  <si>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</si>
  <si>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</si>
  <si>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</si>
  <si>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</si>
  <si>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</si>
  <si>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</si>
  <si>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</si>
  <si>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</si>
  <si>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</si>
  <si>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</si>
  <si>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</si>
  <si>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</si>
  <si>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</si>
  <si>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</si>
  <si>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</si>
  <si>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</si>
  <si>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</si>
  <si>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</si>
  <si>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</si>
  <si>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</si>
  <si>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</si>
  <si>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</si>
  <si>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</si>
  <si>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</si>
  <si>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</si>
  <si>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</si>
  <si>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</si>
  <si>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</si>
  <si>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</si>
  <si>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</si>
  <si>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</si>
  <si>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</si>
  <si>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</si>
  <si>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</si>
  <si>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</si>
  <si>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</si>
  <si>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</si>
  <si>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</si>
  <si>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</si>
  <si>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</si>
  <si>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</si>
  <si>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</si>
  <si>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</si>
  <si>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</si>
  <si>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</si>
  <si>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</si>
  <si>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</si>
  <si>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</si>
  <si>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</si>
  <si>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</si>
  <si>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</si>
  <si>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</si>
  <si>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</si>
  <si>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</si>
  <si>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</si>
  <si>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</si>
  <si>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</si>
  <si>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</si>
  <si>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</si>
  <si>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</si>
  <si>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</si>
  <si>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</si>
  <si>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</si>
  <si>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</si>
  <si>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</si>
  <si>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</si>
  <si>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</si>
  <si>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</si>
  <si>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</si>
  <si>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</si>
  <si>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</si>
  <si>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</si>
  <si>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</si>
  <si>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</si>
  <si>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</si>
  <si>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</si>
  <si>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</si>
  <si>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</si>
  <si>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</si>
  <si>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</si>
  <si>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</si>
  <si>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</si>
  <si>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</si>
  <si>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</si>
  <si>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</si>
  <si>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</si>
  <si>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</si>
  <si>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</si>
  <si>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</si>
  <si>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</si>
  <si>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</si>
  <si>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</si>
  <si>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</si>
  <si>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</si>
  <si>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</si>
  <si>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</si>
  <si>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</si>
  <si>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</si>
  <si>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</si>
  <si>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</si>
  <si>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</si>
  <si>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</si>
  <si>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</si>
  <si>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</si>
  <si>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</si>
  <si>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</si>
  <si>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</si>
  <si>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</si>
  <si>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</si>
  <si>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</si>
  <si>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</si>
  <si>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</si>
  <si>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</si>
  <si>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</si>
  <si>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</si>
  <si>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</si>
  <si>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</si>
  <si>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</si>
  <si>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</si>
  <si>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</si>
  <si>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</si>
  <si>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</si>
  <si>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</si>
  <si>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</si>
  <si>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</si>
  <si>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</si>
  <si>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</si>
  <si>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</si>
  <si>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</si>
  <si>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</si>
  <si>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</si>
  <si>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</si>
  <si>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</si>
  <si>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</si>
  <si>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</si>
  <si>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</si>
  <si>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</si>
  <si>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</si>
  <si>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</si>
  <si>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</si>
  <si>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</si>
  <si>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</si>
  <si>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</si>
  <si>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</si>
  <si>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</si>
  <si>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</si>
  <si>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</si>
  <si>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</si>
  <si>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</si>
  <si>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</si>
  <si>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</si>
  <si>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</si>
  <si>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</si>
  <si>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</si>
  <si>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</si>
  <si>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</si>
  <si>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</si>
  <si>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</si>
  <si>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</si>
  <si>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</si>
  <si>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</si>
  <si>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</si>
  <si>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</si>
  <si>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</si>
  <si>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</si>
  <si>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</si>
  <si>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</si>
  <si>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</si>
  <si>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</si>
  <si>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</si>
  <si>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</si>
  <si>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</si>
  <si>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</si>
  <si>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</si>
  <si>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</si>
  <si>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</si>
  <si>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</si>
  <si>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</si>
  <si>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</si>
  <si>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</si>
  <si>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</si>
  <si>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</si>
  <si>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</si>
  <si>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</si>
  <si>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</si>
  <si>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</si>
  <si>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</si>
  <si>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</si>
  <si>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</si>
  <si>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</si>
  <si>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</si>
  <si>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</si>
  <si>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</si>
  <si>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</si>
  <si>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</si>
  <si>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</si>
  <si>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</si>
  <si>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</si>
  <si>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</si>
  <si>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</si>
  <si>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</si>
  <si>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</si>
  <si>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</si>
  <si>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</si>
  <si>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</si>
  <si>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</si>
  <si>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</si>
  <si>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</si>
  <si>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</si>
  <si>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</si>
  <si>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</si>
  <si>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</si>
  <si>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</si>
  <si>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</si>
  <si>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</si>
  <si>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</si>
  <si>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</si>
  <si>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</si>
  <si>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</si>
  <si>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</si>
  <si>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</si>
  <si>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</si>
  <si>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</si>
  <si>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</si>
  <si>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</si>
  <si>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</si>
  <si>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</si>
  <si>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</si>
  <si>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</si>
  <si>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</si>
  <si>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</si>
  <si>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</si>
  <si>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</si>
  <si>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</si>
  <si>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</si>
  <si>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</si>
  <si>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</si>
  <si>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</si>
  <si>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</si>
  <si>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</si>
  <si>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</si>
  <si>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</si>
  <si>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</si>
  <si>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</si>
  <si>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</si>
  <si>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</si>
  <si>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</si>
  <si>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</si>
  <si>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</si>
  <si>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</si>
  <si>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</si>
  <si>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</si>
  <si>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</si>
  <si>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</si>
  <si>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</si>
  <si>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</si>
  <si>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</si>
  <si>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</si>
  <si>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</si>
  <si>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</si>
  <si>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</si>
  <si>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</si>
  <si>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</si>
  <si>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</si>
  <si>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</si>
  <si>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</si>
  <si>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</si>
  <si>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</si>
  <si>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</si>
  <si>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</si>
  <si>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</si>
  <si>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</si>
  <si>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</si>
  <si>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</si>
  <si>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</si>
  <si>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</si>
  <si>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</si>
  <si>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</si>
  <si>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</si>
  <si>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</si>
  <si>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</si>
  <si>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</si>
  <si>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</si>
  <si>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</si>
  <si>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</si>
  <si>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</si>
  <si>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</si>
  <si>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</si>
  <si>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</si>
  <si>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</si>
  <si>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</si>
  <si>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</si>
  <si>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</si>
  <si>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</si>
  <si>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</si>
  <si>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</si>
  <si>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</si>
  <si>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</si>
  <si>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</si>
  <si>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</si>
  <si>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</si>
  <si>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</si>
  <si>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</si>
  <si>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</si>
  <si>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</si>
  <si>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</si>
  <si>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</si>
  <si>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</si>
  <si>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</si>
  <si>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</si>
  <si>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</si>
  <si>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</si>
  <si>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</si>
  <si>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</si>
  <si>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</si>
  <si>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</si>
  <si>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</si>
  <si>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</si>
  <si>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</si>
  <si>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</si>
  <si>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</si>
  <si>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</si>
  <si>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</si>
  <si>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</si>
  <si>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</si>
  <si>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</si>
  <si>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</si>
  <si>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</si>
  <si>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</si>
  <si>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</si>
  <si>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</si>
  <si>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</si>
  <si>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</si>
  <si>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</si>
  <si>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</si>
  <si>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</si>
  <si>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</si>
  <si>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</si>
  <si>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</si>
  <si>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</si>
  <si>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</si>
  <si>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</si>
  <si>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</si>
  <si>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</si>
  <si>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</si>
  <si>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</si>
  <si>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</si>
  <si>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</si>
  <si>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</si>
  <si>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</si>
  <si>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</si>
  <si>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</si>
  <si>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</si>
  <si>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</si>
  <si>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</si>
  <si>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</si>
  <si>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</si>
  <si>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</si>
  <si>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</si>
  <si>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</si>
  <si>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</si>
  <si>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</si>
  <si>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</si>
  <si>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</si>
  <si>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</si>
  <si>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</si>
  <si>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</si>
  <si>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</si>
  <si>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</si>
  <si>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</si>
  <si>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</si>
  <si>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</si>
  <si>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</si>
  <si>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</si>
  <si>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</si>
  <si>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</si>
  <si>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</si>
  <si>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</si>
  <si>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</si>
  <si>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</si>
  <si>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</si>
  <si>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</si>
  <si>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</si>
  <si>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</si>
  <si>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</si>
  <si>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</si>
  <si>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</si>
  <si>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</si>
  <si>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</si>
  <si>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</si>
  <si>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</si>
  <si>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</si>
  <si>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</si>
  <si>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</si>
  <si>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</si>
  <si>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</si>
  <si>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</si>
  <si>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</si>
  <si>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</si>
  <si>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</si>
  <si>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</si>
  <si>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</si>
  <si>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</si>
  <si>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</si>
  <si>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</si>
  <si>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</si>
  <si>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</si>
  <si>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</si>
  <si>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</si>
  <si>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</si>
  <si>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</si>
  <si>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</si>
  <si>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</si>
  <si>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</si>
  <si>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</si>
  <si>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</si>
  <si>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</si>
  <si>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</si>
  <si>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</si>
  <si>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</si>
  <si>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</si>
  <si>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</si>
  <si>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</si>
  <si>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</si>
  <si>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</si>
  <si>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</si>
  <si>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</si>
  <si>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</si>
  <si>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</si>
  <si>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</si>
  <si>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</si>
  <si>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</si>
  <si>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</si>
  <si>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</si>
  <si>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</si>
  <si>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</si>
  <si>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</si>
  <si>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</si>
  <si>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</si>
  <si>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</si>
  <si>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</si>
  <si>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</si>
  <si>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</si>
  <si>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</si>
  <si>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</si>
  <si>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</si>
  <si>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</si>
  <si>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</si>
  <si>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</si>
  <si>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</si>
  <si>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</si>
  <si>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</si>
  <si>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</si>
  <si>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</si>
  <si>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</si>
  <si>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</si>
  <si>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</si>
  <si>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</si>
  <si>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</si>
  <si>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</si>
  <si>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</si>
  <si>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</si>
  <si>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</si>
  <si>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</si>
  <si>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</si>
  <si>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</si>
  <si>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</si>
  <si>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</si>
  <si>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</si>
  <si>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</si>
  <si>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</si>
  <si>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</si>
  <si>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</si>
  <si>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</si>
  <si>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</si>
  <si>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</si>
  <si>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</si>
  <si>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</si>
  <si>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</si>
  <si>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</si>
  <si>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</si>
  <si>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</si>
  <si>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</si>
  <si>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</si>
  <si>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</si>
  <si>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</si>
  <si>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</si>
  <si>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</si>
  <si>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</si>
  <si>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</si>
  <si>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</si>
  <si>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</si>
  <si>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</si>
  <si>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</si>
  <si>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</si>
  <si>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</si>
  <si>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</si>
  <si>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</si>
  <si>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</si>
  <si>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</si>
  <si>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</si>
  <si>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</si>
  <si>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</si>
  <si>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</si>
  <si>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</si>
  <si>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</si>
  <si>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</si>
  <si>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</si>
  <si>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</si>
  <si>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</si>
  <si>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</si>
  <si>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</si>
  <si>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</si>
  <si>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</si>
  <si>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</si>
  <si>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</si>
  <si>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</si>
  <si>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</si>
  <si>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</si>
  <si>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</si>
  <si>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</si>
  <si>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</si>
  <si>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</si>
  <si>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</si>
  <si>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</si>
  <si>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</si>
  <si>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</si>
  <si>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</si>
  <si>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</si>
  <si>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</si>
  <si>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</si>
  <si>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</si>
  <si>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</si>
  <si>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</si>
  <si>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</si>
  <si>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</si>
  <si>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</si>
  <si>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</si>
  <si>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</si>
  <si>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</si>
  <si>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</si>
  <si>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</si>
  <si>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</si>
  <si>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</si>
  <si>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</si>
  <si>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</si>
  <si>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</si>
  <si>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</si>
  <si>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</si>
  <si>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</si>
  <si>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</si>
  <si>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</si>
  <si>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</si>
  <si>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</si>
  <si>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</si>
  <si>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</si>
  <si>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</si>
  <si>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</si>
  <si>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</si>
  <si>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</si>
  <si>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</si>
  <si>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</si>
  <si>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</si>
  <si>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</si>
  <si>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</si>
  <si>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</si>
  <si>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</si>
  <si>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</si>
  <si>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</si>
  <si>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</si>
  <si>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</si>
  <si>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</si>
  <si>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</si>
  <si>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</si>
  <si>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</si>
  <si>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</si>
  <si>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</si>
  <si>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</si>
  <si>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</si>
  <si>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</si>
  <si>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</si>
  <si>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</si>
  <si>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</si>
  <si>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</si>
  <si>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</si>
  <si>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</si>
  <si>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</si>
  <si>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</si>
  <si>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</si>
  <si>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</si>
  <si>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</si>
  <si>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</si>
  <si>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</si>
  <si>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</si>
  <si>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</si>
  <si>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</si>
  <si>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</si>
  <si>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</si>
  <si>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</si>
  <si>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</si>
  <si>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</si>
  <si>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</si>
  <si>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</si>
  <si>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</si>
  <si>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</si>
  <si>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</si>
  <si>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</si>
  <si>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</si>
  <si>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</si>
  <si>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</si>
  <si>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</si>
  <si>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</si>
  <si>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</si>
  <si>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</si>
  <si>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</si>
  <si>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</si>
  <si>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</si>
  <si>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</si>
  <si>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</si>
  <si>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</si>
  <si>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</si>
  <si>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</si>
  <si>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</si>
  <si>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</si>
  <si>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</si>
  <si>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</si>
  <si>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</si>
  <si>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</si>
  <si>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</si>
  <si>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</si>
  <si>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</si>
  <si>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</si>
  <si>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</si>
  <si>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</si>
  <si>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</si>
  <si>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</si>
  <si>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</si>
  <si>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</si>
  <si>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</si>
  <si>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</si>
  <si>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</si>
  <si>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</si>
  <si>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</si>
  <si>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</si>
  <si>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</si>
  <si>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</si>
  <si>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</si>
  <si>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</si>
  <si>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</si>
  <si>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</si>
  <si>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</si>
  <si>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</si>
  <si>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</si>
  <si>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</si>
  <si>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</si>
  <si>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</si>
  <si>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</si>
  <si>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</si>
  <si>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</si>
  <si>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</si>
  <si>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</si>
  <si>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</si>
  <si>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</si>
  <si>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</si>
  <si>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</si>
  <si>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</si>
  <si>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</si>
  <si>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</si>
  <si>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</si>
  <si>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</si>
  <si>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</si>
  <si>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</si>
  <si>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</si>
  <si>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</si>
  <si>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</si>
  <si>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</si>
  <si>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</si>
  <si>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</si>
  <si>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</si>
  <si>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</si>
  <si>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</si>
  <si>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</si>
  <si>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</si>
  <si>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</si>
  <si>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</si>
  <si>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</si>
  <si>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</si>
  <si>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</si>
  <si>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</si>
  <si>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</si>
  <si>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</si>
  <si>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</si>
  <si>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</si>
  <si>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</si>
  <si>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</si>
  <si>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</si>
  <si>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</si>
  <si>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</si>
  <si>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</si>
  <si>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</si>
  <si>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</si>
  <si>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</si>
  <si>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</si>
  <si>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</si>
  <si>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</si>
  <si>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</si>
  <si>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</si>
  <si>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</si>
  <si>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</si>
  <si>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</si>
  <si>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</si>
  <si>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</si>
  <si>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</si>
  <si>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</si>
  <si>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</si>
  <si>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</si>
  <si>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</si>
  <si>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</si>
  <si>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</si>
  <si>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</si>
  <si>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</si>
  <si>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</si>
  <si>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</si>
  <si>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</si>
  <si>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</si>
  <si>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</si>
  <si>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</si>
  <si>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</si>
  <si>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</si>
  <si>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</si>
  <si>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</si>
  <si>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</si>
  <si>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</si>
  <si>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</si>
  <si>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</si>
  <si>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</si>
  <si>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</si>
  <si>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</si>
  <si>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</si>
  <si>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</si>
  <si>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</si>
  <si>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</si>
  <si>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</si>
  <si>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</si>
  <si>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</si>
  <si>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</si>
  <si>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</si>
  <si>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</si>
  <si>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</si>
  <si>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</si>
  <si>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</si>
  <si>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</si>
  <si>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</si>
  <si>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</si>
  <si>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</si>
  <si>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</si>
  <si>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</si>
  <si>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</si>
  <si>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</si>
  <si>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</si>
  <si>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</si>
  <si>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</si>
  <si>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</si>
  <si>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</si>
  <si>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</si>
  <si>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</si>
  <si>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</si>
  <si>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</si>
  <si>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</si>
  <si>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</si>
  <si>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</si>
  <si>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</si>
  <si>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</si>
  <si>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</si>
  <si>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</si>
  <si>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</si>
  <si>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</si>
  <si>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</si>
  <si>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</si>
  <si>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</si>
  <si>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</si>
  <si>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</si>
  <si>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</si>
  <si>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</si>
  <si>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</si>
  <si>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</si>
  <si>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</si>
  <si>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</si>
  <si>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</si>
  <si>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</si>
  <si>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</si>
  <si>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</si>
  <si>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</si>
  <si>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</si>
  <si>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</si>
  <si>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</si>
  <si>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</si>
  <si>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</si>
  <si>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</si>
  <si>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</si>
  <si>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</si>
  <si>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</si>
  <si>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</si>
  <si>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</si>
  <si>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</si>
  <si>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</si>
  <si>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</si>
  <si>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</si>
  <si>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</si>
  <si>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</si>
  <si>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</si>
  <si>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</si>
  <si>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</si>
  <si>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</si>
  <si>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</si>
  <si>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</si>
  <si>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</si>
  <si>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</si>
  <si>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</si>
  <si>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</si>
  <si>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</si>
  <si>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</si>
  <si>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</si>
  <si>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</si>
  <si>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</si>
  <si>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</si>
  <si>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</si>
  <si>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</si>
  <si>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</si>
  <si>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</si>
  <si>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</si>
  <si>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</si>
  <si>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</si>
  <si>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</si>
  <si>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</si>
  <si>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</si>
  <si>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</si>
  <si>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</si>
  <si>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</si>
  <si>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</si>
  <si>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</si>
  <si>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</si>
  <si>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</si>
  <si>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</si>
  <si>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</si>
  <si>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</si>
  <si>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</si>
  <si>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</si>
  <si>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</si>
  <si>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</si>
  <si>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</si>
  <si>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</si>
  <si>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</si>
  <si>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</si>
  <si>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</si>
  <si>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</si>
  <si>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</si>
  <si>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</si>
  <si>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</si>
  <si>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</si>
  <si>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</si>
  <si>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</si>
  <si>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</si>
  <si>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</si>
  <si>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</si>
  <si>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</si>
  <si>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</si>
  <si>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</si>
  <si>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</si>
  <si>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</si>
  <si>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</si>
  <si>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</si>
  <si>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</si>
  <si>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</si>
  <si>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</si>
  <si>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</si>
  <si>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</si>
  <si>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</si>
  <si>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</si>
  <si>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</si>
  <si>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</si>
  <si>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</si>
  <si>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</si>
  <si>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</si>
  <si>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</si>
  <si>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</si>
  <si>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</si>
  <si>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</si>
  <si>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</si>
  <si>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</si>
  <si>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</si>
  <si>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</si>
  <si>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</si>
  <si>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</si>
  <si>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</si>
  <si>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</si>
  <si>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</si>
  <si>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</si>
  <si>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</si>
  <si>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</si>
  <si>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</si>
  <si>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</si>
  <si>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</si>
  <si>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</si>
  <si>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</si>
  <si>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</si>
  <si>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</si>
  <si>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</si>
  <si>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</si>
  <si>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</si>
  <si>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</si>
  <si>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</si>
  <si>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</si>
  <si>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</si>
  <si>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</si>
  <si>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</si>
  <si>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</si>
  <si>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</si>
  <si>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</si>
  <si>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</si>
  <si>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</si>
  <si>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</si>
  <si>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</si>
  <si>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</si>
  <si>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</si>
  <si>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</si>
  <si>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</si>
  <si>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</si>
  <si>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</si>
  <si>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</si>
  <si>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</si>
  <si>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</si>
  <si>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</si>
  <si>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</si>
  <si>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</si>
  <si>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</si>
  <si>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</si>
  <si>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</si>
  <si>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</si>
  <si>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</si>
  <si>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</si>
  <si>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</si>
  <si>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</si>
  <si>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</si>
  <si>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</si>
  <si>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</si>
  <si>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</si>
  <si>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</si>
  <si>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</si>
  <si>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</si>
  <si>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</si>
  <si>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</si>
  <si>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</si>
  <si>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</si>
  <si>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</si>
  <si>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</si>
  <si>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</si>
  <si>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</si>
  <si>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</si>
  <si>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</si>
  <si>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</si>
  <si>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</si>
  <si>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</si>
  <si>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</si>
  <si>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</si>
  <si>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</si>
  <si>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</si>
  <si>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</si>
  <si>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</si>
  <si>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</si>
  <si>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</si>
  <si>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</si>
  <si>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</si>
  <si>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</si>
  <si>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</si>
  <si>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</si>
  <si>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</si>
  <si>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</si>
  <si>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</si>
  <si>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</si>
  <si>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</si>
  <si>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</si>
  <si>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</si>
  <si>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</si>
  <si>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</si>
  <si>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</si>
  <si>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</si>
  <si>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</si>
  <si>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</si>
  <si>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</si>
  <si>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</si>
  <si>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</si>
  <si>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</si>
  <si>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</si>
  <si>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</si>
  <si>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</si>
  <si>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</si>
  <si>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</si>
  <si>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</si>
  <si>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</si>
  <si>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</si>
  <si>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</si>
  <si>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</si>
  <si>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</si>
  <si>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</si>
  <si>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</si>
  <si>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</si>
  <si>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</si>
  <si>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</si>
  <si>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</si>
  <si>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</si>
  <si>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</si>
  <si>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</si>
  <si>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</si>
  <si>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</si>
  <si>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</si>
  <si>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</si>
  <si>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</si>
  <si>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</si>
  <si>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</si>
  <si>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</si>
  <si>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</si>
  <si>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</si>
  <si>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</si>
  <si>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</si>
  <si>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</si>
  <si>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</si>
  <si>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</si>
  <si>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</si>
  <si>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</si>
  <si>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</si>
  <si>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</si>
  <si>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</si>
  <si>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</si>
  <si>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</si>
  <si>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</si>
  <si>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</si>
  <si>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</si>
  <si>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</si>
  <si>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</si>
  <si>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</si>
  <si>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</si>
  <si>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</si>
  <si>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</si>
  <si>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</si>
  <si>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</si>
  <si>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</si>
  <si>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</si>
  <si>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</si>
  <si>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</si>
  <si>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</si>
  <si>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</si>
  <si>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</si>
  <si>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</si>
  <si>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</si>
  <si>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</si>
  <si>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</si>
  <si>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</si>
  <si>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</si>
  <si>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</si>
  <si>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</si>
  <si>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</si>
  <si>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</si>
  <si>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</si>
  <si>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</si>
  <si>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</si>
  <si>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</si>
  <si>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</si>
  <si>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</si>
  <si>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</si>
  <si>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</si>
  <si>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</si>
  <si>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</si>
  <si>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</si>
  <si>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</si>
  <si>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</si>
  <si>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</si>
  <si>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</si>
  <si>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</si>
  <si>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</si>
  <si>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</si>
  <si>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</si>
  <si>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</si>
  <si>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</si>
  <si>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</si>
  <si>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</si>
  <si>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</si>
  <si>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</si>
  <si>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</si>
  <si>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</si>
  <si>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</si>
  <si>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</si>
  <si>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</si>
  <si>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</si>
  <si>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</si>
  <si>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</si>
  <si>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</si>
  <si>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</si>
  <si>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</si>
  <si>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</si>
  <si>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</si>
  <si>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</si>
  <si>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</si>
  <si>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</si>
  <si>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</si>
  <si>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</si>
  <si>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</si>
  <si>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</si>
  <si>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</si>
  <si>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</si>
  <si>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</si>
  <si>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</si>
  <si>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</si>
  <si>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</si>
  <si>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</si>
  <si>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</si>
  <si>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</si>
  <si>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</si>
  <si>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</si>
  <si>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</si>
  <si>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</si>
  <si>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</si>
  <si>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</si>
  <si>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</si>
  <si>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</si>
  <si>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</si>
  <si>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</si>
  <si>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</si>
  <si>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</si>
  <si>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</si>
  <si>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</si>
  <si>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</si>
  <si>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</si>
  <si>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</si>
  <si>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</si>
  <si>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</si>
  <si>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</si>
  <si>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</si>
  <si>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</si>
  <si>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</si>
  <si>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</si>
  <si>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</si>
  <si>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</si>
  <si>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</si>
  <si>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</si>
  <si>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</si>
  <si>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</si>
  <si>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</si>
  <si>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</si>
  <si>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</si>
  <si>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</si>
  <si>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</si>
  <si>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</si>
  <si>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</si>
  <si>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</si>
  <si>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</si>
  <si>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</si>
  <si>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</si>
  <si>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</si>
  <si>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</si>
  <si>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</si>
  <si>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</si>
  <si>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</si>
  <si>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</si>
  <si>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</si>
  <si>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</si>
  <si>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</si>
  <si>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</si>
  <si>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</si>
  <si>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</si>
  <si>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</si>
  <si>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</si>
  <si>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</si>
  <si>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</si>
  <si>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</si>
  <si>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</si>
  <si>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</si>
  <si>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</si>
  <si>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</si>
  <si>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</si>
  <si>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</si>
  <si>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</si>
  <si>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</si>
  <si>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</si>
  <si>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</si>
  <si>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</si>
  <si>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</si>
  <si>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</si>
  <si>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</si>
  <si>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</si>
  <si>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</si>
  <si>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</si>
  <si>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</si>
  <si>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</si>
  <si>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</si>
  <si>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</si>
  <si>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</si>
  <si>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</si>
  <si>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</si>
  <si>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</si>
  <si>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</si>
  <si>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</si>
  <si>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</si>
  <si>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</si>
  <si>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</si>
  <si>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</si>
  <si>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</si>
  <si>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</si>
  <si>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</si>
  <si>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</si>
  <si>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</si>
  <si>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</si>
  <si>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</si>
  <si>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</si>
  <si>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</si>
  <si>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</si>
  <si>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</si>
  <si>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</si>
  <si>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</si>
  <si>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</si>
  <si>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</si>
  <si>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</si>
  <si>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</si>
  <si>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</si>
  <si>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</si>
  <si>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</si>
  <si>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</si>
  <si>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</si>
  <si>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</si>
  <si>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</si>
  <si>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</si>
  <si>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</si>
  <si>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</si>
  <si>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</si>
  <si>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</si>
  <si>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</si>
  <si>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</si>
  <si>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</si>
  <si>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</si>
  <si>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</si>
  <si>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</si>
  <si>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</si>
  <si>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</si>
  <si>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</si>
  <si>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</si>
  <si>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</si>
  <si>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</si>
  <si>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</si>
  <si>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</si>
  <si>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</si>
  <si>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</si>
  <si>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</si>
  <si>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</si>
  <si>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</si>
  <si>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</si>
  <si>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</si>
  <si>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</si>
  <si>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</si>
  <si>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</si>
  <si>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</si>
  <si>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</si>
  <si>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</si>
  <si>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</si>
  <si>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</si>
  <si>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</si>
  <si>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</si>
  <si>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</si>
  <si>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</si>
  <si>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</si>
  <si>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</si>
  <si>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</si>
  <si>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</si>
  <si>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</si>
  <si>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</si>
  <si>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</si>
  <si>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</si>
  <si>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</si>
  <si>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</si>
  <si>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</si>
  <si>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</si>
  <si>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</si>
  <si>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</si>
  <si>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</si>
  <si>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</si>
  <si>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</si>
  <si>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</si>
  <si>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</si>
  <si>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</si>
  <si>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</si>
  <si>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</si>
  <si>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</si>
  <si>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</si>
  <si>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</si>
  <si>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</si>
  <si>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</si>
  <si>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</si>
  <si>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</si>
  <si>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</si>
  <si>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</si>
  <si>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</si>
  <si>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</si>
  <si>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</si>
  <si>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</si>
  <si>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</si>
  <si>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</si>
  <si>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</si>
  <si>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</si>
  <si>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</si>
  <si>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</si>
  <si>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</si>
  <si>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</si>
  <si>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</si>
  <si>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</si>
  <si>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</si>
  <si>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</si>
  <si>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</si>
  <si>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</si>
  <si>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</si>
  <si>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</si>
  <si>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</si>
  <si>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</si>
  <si>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</si>
  <si>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</si>
  <si>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</si>
  <si>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</si>
  <si>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</si>
  <si>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</si>
  <si>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</si>
  <si>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</si>
  <si>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</si>
  <si>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</si>
  <si>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</si>
  <si>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</si>
  <si>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</si>
  <si>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</si>
  <si>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</si>
  <si>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</si>
  <si>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</si>
  <si>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</si>
  <si>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</si>
  <si>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</si>
  <si>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</si>
  <si>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</si>
  <si>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</si>
  <si>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</si>
  <si>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</si>
  <si>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</si>
  <si>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</si>
  <si>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</si>
  <si>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</si>
  <si>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</si>
  <si>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</si>
  <si>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</si>
  <si>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</si>
  <si>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</si>
  <si>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</si>
  <si>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</si>
  <si>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</si>
  <si>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</si>
  <si>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</si>
  <si>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</si>
  <si>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</si>
  <si>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</si>
  <si>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</si>
  <si>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</si>
  <si>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</si>
  <si>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</si>
  <si>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</si>
  <si>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</si>
  <si>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</si>
  <si>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</si>
  <si>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</si>
  <si>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</si>
  <si>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</si>
  <si>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</si>
  <si>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</si>
  <si>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</si>
  <si>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</si>
  <si>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</si>
  <si>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</si>
  <si>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</si>
  <si>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</si>
  <si>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</si>
  <si>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</si>
  <si>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</si>
  <si>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</si>
  <si>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</si>
  <si>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</si>
  <si>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</si>
  <si>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</si>
  <si>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</si>
  <si>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</si>
  <si>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</si>
  <si>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</si>
  <si>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</si>
  <si>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</si>
  <si>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</si>
  <si>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</si>
  <si>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</si>
  <si>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</si>
  <si>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</si>
  <si>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</si>
  <si>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</si>
  <si>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</si>
  <si>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</si>
  <si>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</si>
  <si>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</si>
  <si>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</si>
  <si>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</si>
  <si>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</si>
  <si>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</si>
  <si>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</si>
  <si>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</si>
  <si>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</si>
  <si>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</si>
  <si>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</si>
  <si>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</si>
  <si>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</si>
  <si>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</si>
  <si>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</si>
  <si>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</si>
  <si>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</si>
  <si>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</si>
  <si>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</si>
  <si>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</si>
  <si>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</si>
  <si>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</si>
  <si>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</si>
  <si>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</si>
  <si>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</si>
  <si>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</si>
  <si>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</si>
  <si>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</si>
  <si>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</si>
  <si>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</si>
  <si>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</si>
  <si>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</si>
  <si>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</si>
  <si>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</si>
  <si>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</si>
  <si>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šípky - bežné transfery</t>
  </si>
  <si>
    <t>V-2025-027</t>
  </si>
  <si>
    <t>08072025</t>
  </si>
  <si>
    <t>Poplatok za úhradu mimo EÚ</t>
  </si>
  <si>
    <t>00151653</t>
  </si>
  <si>
    <t>Slovenská Sporiteľňa</t>
  </si>
  <si>
    <t>V-2025-028</t>
  </si>
  <si>
    <t>V-2025-029</t>
  </si>
  <si>
    <t>V-2025-030</t>
  </si>
  <si>
    <t>V-2025-031</t>
  </si>
  <si>
    <t>V-2025-032</t>
  </si>
  <si>
    <t>AXA</t>
  </si>
  <si>
    <t>Poistenie členov výpravy YOUTH CUP ASSEN : Peter Jakubis, Pavol Kočík, Martin Brindzko, Marcel Miklík, Alex Mjartan, Dominik Kočík, Bibiána Bugyiová, Nika Andrejkovičová</t>
  </si>
  <si>
    <t>5010651500</t>
  </si>
  <si>
    <t>0415591055.</t>
  </si>
  <si>
    <t>36212911</t>
  </si>
  <si>
    <t>FAMS s.r.o.</t>
  </si>
  <si>
    <t>7202025</t>
  </si>
  <si>
    <t>Trofeje pre Sl.Pohár Teplý vrch .-8.6.2025</t>
  </si>
  <si>
    <t>20250012</t>
  </si>
  <si>
    <t>47087285</t>
  </si>
  <si>
    <t>Relax Dart s.r.o.</t>
  </si>
  <si>
    <t>Trofeje na Slovenský Pohár Nováky 7.-8.2.2025</t>
  </si>
  <si>
    <t>20250011</t>
  </si>
  <si>
    <t>20250013</t>
  </si>
  <si>
    <t>V-2025-033</t>
  </si>
  <si>
    <t>V-2025-034</t>
  </si>
  <si>
    <t>Pavol Kočík - vedúci výpravy</t>
  </si>
  <si>
    <t xml:space="preserve">Preplatenie hotovostných výdavkov výpravy Eurocup Youth ASSEN </t>
  </si>
  <si>
    <t>Bankový poplatok za vedenie účtu</t>
  </si>
  <si>
    <t>23072025</t>
  </si>
  <si>
    <t>V-2025-035</t>
  </si>
  <si>
    <t>31072025</t>
  </si>
  <si>
    <t>31082025</t>
  </si>
  <si>
    <t>Nájomné sídla zväzu 7-2025</t>
  </si>
  <si>
    <t>Nájomné sídla zväzu 8-2025</t>
  </si>
  <si>
    <t>8322025</t>
  </si>
  <si>
    <t>V-2025-036</t>
  </si>
  <si>
    <t>V-2025-038</t>
  </si>
  <si>
    <t>V-2025-039</t>
  </si>
  <si>
    <t>Poistenie repre výberu Svetový pohár Korea 23.-28.9.2025 : František Šulc, Katarína Nagyová, Lucia Jankovská, Martina Sulovská, Mária Kormančíková, Ľuboš Pivarč, Matej Homola, Štefan Hájek, Vladimír Zaťko</t>
  </si>
  <si>
    <t>6000051566</t>
  </si>
  <si>
    <t>Ballington s.r.o.</t>
  </si>
  <si>
    <t>9432025</t>
  </si>
  <si>
    <t>Nájomné sídla zväzu 9-2025</t>
  </si>
  <si>
    <t>47161710</t>
  </si>
  <si>
    <t>V-2025-040</t>
  </si>
  <si>
    <t>Barbot Slovakia s.r.o.</t>
  </si>
  <si>
    <t>36009016</t>
  </si>
  <si>
    <t>250001</t>
  </si>
  <si>
    <t>Stretnutie reprezentantov a reaqlizačného teamu elektronické šípky</t>
  </si>
  <si>
    <t>30092025</t>
  </si>
  <si>
    <t>V-2025-042</t>
  </si>
  <si>
    <t>V-2025-044</t>
  </si>
  <si>
    <t>V-2025-045</t>
  </si>
  <si>
    <t>V-2025-046</t>
  </si>
  <si>
    <t>V-2025-047</t>
  </si>
  <si>
    <t>V-2025-048</t>
  </si>
  <si>
    <t>V-2025-049</t>
  </si>
  <si>
    <t>V-2025-050</t>
  </si>
  <si>
    <t>V-2025-051</t>
  </si>
  <si>
    <t>V-2025-052</t>
  </si>
  <si>
    <t>V-2025-053</t>
  </si>
  <si>
    <t>V-2025-054</t>
  </si>
  <si>
    <t>V-2025-055</t>
  </si>
  <si>
    <t>V-2025-056</t>
  </si>
  <si>
    <t>V-2025-057</t>
  </si>
  <si>
    <t>V-2025-058</t>
  </si>
  <si>
    <t>V-2025-059</t>
  </si>
  <si>
    <t>V-2025-060</t>
  </si>
  <si>
    <t>V-2025-061</t>
  </si>
  <si>
    <t>V-2025-062</t>
  </si>
  <si>
    <t>V-2025-063</t>
  </si>
  <si>
    <t>V-2025-064</t>
  </si>
  <si>
    <t>V-2025-065</t>
  </si>
  <si>
    <t>Administratívne služby 1-3 2025</t>
  </si>
  <si>
    <t>56738692</t>
  </si>
  <si>
    <t>Ing. Lucia Černá</t>
  </si>
  <si>
    <t>2025012</t>
  </si>
  <si>
    <t>2025014</t>
  </si>
  <si>
    <t>Nájomné sídla zväzu 10-2025</t>
  </si>
  <si>
    <t>10542025</t>
  </si>
  <si>
    <t>31102025</t>
  </si>
  <si>
    <t>Gabriel Váraljay</t>
  </si>
  <si>
    <t>Preplatenie štartovného do turnajeov Majstrovstiev sveta v elektronických šípkach 25.10.-1.11.2025 Slovensko : 501DO,Cricket,Dvojice,Miešané páry</t>
  </si>
  <si>
    <t>Erik Poliak</t>
  </si>
  <si>
    <t>Dávid Ševce</t>
  </si>
  <si>
    <t>Ľuboš Pivarč</t>
  </si>
  <si>
    <t>Peter Jakubis</t>
  </si>
  <si>
    <t>Katarína Nagyouvá</t>
  </si>
  <si>
    <t>Monika Jakubová</t>
  </si>
  <si>
    <t>Lucia Jankovská</t>
  </si>
  <si>
    <t>Martina Sulovská</t>
  </si>
  <si>
    <t>Veronika Vargová</t>
  </si>
  <si>
    <t>Erika Pániková</t>
  </si>
  <si>
    <t>Zdravotné poistenie - mzda 10-2025 Henrieta Holá</t>
  </si>
  <si>
    <t>Mzda 10-2025 Henrieta Holá</t>
  </si>
  <si>
    <t>Sociálne poistenie 10-2025 Henrieta Holá</t>
  </si>
  <si>
    <t>Daň zo mzdy 10-2025 Henrieta Holá</t>
  </si>
  <si>
    <t>30112025</t>
  </si>
  <si>
    <t>102025</t>
  </si>
  <si>
    <t>11112025</t>
  </si>
  <si>
    <t>Nájomné sídla zväzu 11-2025</t>
  </si>
  <si>
    <t>Nájomné sídla zväzu 12-2025</t>
  </si>
  <si>
    <t>11632025</t>
  </si>
  <si>
    <t>12732025</t>
  </si>
  <si>
    <t>Henrieta Holá</t>
  </si>
  <si>
    <t>V-2025-066</t>
  </si>
  <si>
    <t>V-2025-067</t>
  </si>
  <si>
    <t>V-2025-076</t>
  </si>
  <si>
    <t>V-2025-077</t>
  </si>
  <si>
    <t>V-2025-078</t>
  </si>
  <si>
    <t>V-2025-079</t>
  </si>
  <si>
    <t>V-2025-080</t>
  </si>
  <si>
    <t>V-2025-081</t>
  </si>
  <si>
    <t>V-2025-082</t>
  </si>
  <si>
    <t>V-2025-083</t>
  </si>
  <si>
    <t>V-2025-084</t>
  </si>
  <si>
    <t>V-2025-085</t>
  </si>
  <si>
    <t>V-2025-086</t>
  </si>
  <si>
    <t>V-2025-087</t>
  </si>
  <si>
    <t>V-2025-088</t>
  </si>
  <si>
    <t>V-2025-089</t>
  </si>
  <si>
    <t>V-2025-090</t>
  </si>
  <si>
    <t>V-2025-091</t>
  </si>
  <si>
    <t>V-2025-092</t>
  </si>
  <si>
    <t>V-2025-093</t>
  </si>
  <si>
    <t>V-2025-094</t>
  </si>
  <si>
    <t>V-2025-095</t>
  </si>
  <si>
    <t>V-2025-096</t>
  </si>
  <si>
    <t>V-2025-097</t>
  </si>
  <si>
    <t>V-2025-098</t>
  </si>
  <si>
    <t>AG PRINT s.r.o.</t>
  </si>
  <si>
    <t>53141628</t>
  </si>
  <si>
    <t>20251620</t>
  </si>
  <si>
    <t>Preplatenie nákladov na ubytovanie technikov Slovenský pohár Šamorín</t>
  </si>
  <si>
    <t>X-Bionic Sphere s.r.o.</t>
  </si>
  <si>
    <t>46640134</t>
  </si>
  <si>
    <t>Mestský klub v elektronických šípkach Nováky</t>
  </si>
  <si>
    <t>42139929</t>
  </si>
  <si>
    <t>09122025</t>
  </si>
  <si>
    <t>DC Topoľčianky</t>
  </si>
  <si>
    <t>56040334</t>
  </si>
  <si>
    <t>5020255932</t>
  </si>
  <si>
    <t xml:space="preserve">Ubytovanie hráčov talentovanej mládeže </t>
  </si>
  <si>
    <t>5020255933</t>
  </si>
  <si>
    <t>Ubytovanie Slovenskej reprezentácie MS v elektronických šípkach 25.10-1.11.2025</t>
  </si>
  <si>
    <t>2501681</t>
  </si>
  <si>
    <t>Oblečenie reprezentácie Majstrovstvá sveta v elektronických šípkach 2025</t>
  </si>
  <si>
    <t>Res Promotion s.r.o.</t>
  </si>
  <si>
    <t>46998594</t>
  </si>
  <si>
    <t>Slovenská šípkarská federácia</t>
  </si>
  <si>
    <t>Preplatenie medzinárodných licencií pre slovesnkých juniroských hráčov : Alex Mjartan, Martin Brindzko, Dominik Kočík, Jakub Ondrija, Bibiána Bugyiová, Alexandra Lišivková</t>
  </si>
  <si>
    <t>30687152</t>
  </si>
  <si>
    <t>16122025-1</t>
  </si>
  <si>
    <t>16122025-2</t>
  </si>
  <si>
    <t>Ing. Krystof Kiss</t>
  </si>
  <si>
    <t>Platba za duševné dielo- turnajový softvér pre potreby turnajov</t>
  </si>
  <si>
    <t>25002</t>
  </si>
  <si>
    <t>Služby pre Slovenský pohár v Rimavskej Sobote 6.-7.12.2025 : doprava súťažných prístrojov, setup haly, technické zabezpečenie</t>
  </si>
  <si>
    <t>250025</t>
  </si>
  <si>
    <t>Euroawk s.r.o.</t>
  </si>
  <si>
    <t>Reklamné služby Slovenský pohár Rimvská Sobota - Bilboard kampaň</t>
  </si>
  <si>
    <t>256824</t>
  </si>
  <si>
    <t>35808683</t>
  </si>
  <si>
    <t>Zväz kompaktných športov</t>
  </si>
  <si>
    <t>2025</t>
  </si>
  <si>
    <t>Preplatenie poplatku za členstvo vo svetovej organizácii pre elektronické šípky 2025</t>
  </si>
  <si>
    <t>Preplatenie poplatku za členstvo vo svetovej organizácii pre steelové šípky World Dart Federation 2025</t>
  </si>
  <si>
    <t>DORYT s.r.o.</t>
  </si>
  <si>
    <t>Prenájom skladových priestorov za rok 2025 . Uskladnenie technického zabezpečenia pre potreby zväzu</t>
  </si>
  <si>
    <t>2025177</t>
  </si>
  <si>
    <t>Mzda 11-2025 Henrieta Holá</t>
  </si>
  <si>
    <t>Sociálne poistenie 11-2025 Henrieta Holá</t>
  </si>
  <si>
    <t>Daň zo mzdy 11-2025 Henrieta Holá</t>
  </si>
  <si>
    <t>Zdravotné poistenie - mzda 11-2025 Henrieta Holá</t>
  </si>
  <si>
    <t>202511</t>
  </si>
  <si>
    <t>2025028</t>
  </si>
  <si>
    <t>Popdpora klubom pracujúcim s mládežou - mládežnícka liga elektronické šípky</t>
  </si>
  <si>
    <t>Šípkarský klub Bardejov</t>
  </si>
  <si>
    <t>PDC Košice</t>
  </si>
  <si>
    <t>45785104</t>
  </si>
  <si>
    <t>42332214</t>
  </si>
  <si>
    <t>Letenky pre slovenský výber EP Španielako Salou : K. Kirchner, Dušan Strieš, Erik Poliak, Lucia Jankovská, Veronika Vargová</t>
  </si>
  <si>
    <t xml:space="preserve">Wizzair </t>
  </si>
  <si>
    <t>183086896Z</t>
  </si>
  <si>
    <t>HU26648525</t>
  </si>
  <si>
    <t>Osvetlenie a ozvučenie športového podujatia Darts Slovak Open Šamorín 20.-22.2.2026</t>
  </si>
  <si>
    <t>music DRIVE production s.r.o.</t>
  </si>
  <si>
    <t>55495931</t>
  </si>
  <si>
    <t>50260003</t>
  </si>
  <si>
    <t>V-2025-099</t>
  </si>
  <si>
    <t>UMELECKÉ AKTIVITY, občianske združenie</t>
  </si>
  <si>
    <t>42371813</t>
  </si>
  <si>
    <t>Organizovanie športového podujatia Darts Slovak Open 20.-22.2.2026 Šamorín, organizácia zápasov, stage aktivity</t>
  </si>
  <si>
    <t>260002</t>
  </si>
  <si>
    <t>V-2025-100</t>
  </si>
  <si>
    <t>Podpora klubu pracujúceho s mládežou</t>
  </si>
  <si>
    <t>Šípkarský klub Vrútky</t>
  </si>
  <si>
    <t>Viajes Bertioga SL, Španielsko</t>
  </si>
  <si>
    <t>B-87273207</t>
  </si>
  <si>
    <t>S26001</t>
  </si>
  <si>
    <t>V-2025-101</t>
  </si>
  <si>
    <t>V-2025-102</t>
  </si>
  <si>
    <t>Ivana Popjaková</t>
  </si>
  <si>
    <t>Športové trofeje Majstrovstvá Slovenska Topoľčany 16.-18.1.2026</t>
  </si>
  <si>
    <t>Športové poháre Darts Slovak Open 20.-22.2.2026</t>
  </si>
  <si>
    <t>V-2025-103</t>
  </si>
  <si>
    <t>V-2025-104</t>
  </si>
  <si>
    <t>V-2025-105</t>
  </si>
  <si>
    <t>V-2025-106</t>
  </si>
  <si>
    <t>V-2025-107</t>
  </si>
  <si>
    <t>V-2025-108</t>
  </si>
  <si>
    <t>V-2025-109</t>
  </si>
  <si>
    <t>V-2025-112</t>
  </si>
  <si>
    <t>V-2025-113</t>
  </si>
  <si>
    <t>V-2025-114</t>
  </si>
  <si>
    <t>V-2025-115</t>
  </si>
  <si>
    <t>V-2025-116</t>
  </si>
  <si>
    <t>V-2025-117</t>
  </si>
  <si>
    <t>V-2025-118</t>
  </si>
  <si>
    <t>260008</t>
  </si>
  <si>
    <t>260009</t>
  </si>
  <si>
    <t>Dart Club Prievidza</t>
  </si>
  <si>
    <t>52101703</t>
  </si>
  <si>
    <t>Podpora klubu pracujúceho s mládežou : Nákup športových dielov na terče, nákup športových odevov</t>
  </si>
  <si>
    <t>2026018,26066,202610088</t>
  </si>
  <si>
    <t xml:space="preserve">Preplatenie štartovného EP Španielsko Salou 27.3.-29.3.2026 </t>
  </si>
  <si>
    <t>Dušan Strieš</t>
  </si>
  <si>
    <t>SVK000821</t>
  </si>
  <si>
    <t>SVK00035</t>
  </si>
  <si>
    <t>SVK00043</t>
  </si>
  <si>
    <t>SVK00016</t>
  </si>
  <si>
    <t>Zvaz Kompaktných športov</t>
  </si>
  <si>
    <t>35570920</t>
  </si>
  <si>
    <t>Preplatenie poplatkov Svetovej federácii WDF za Darts Slovak Open 20.-22.2.2026</t>
  </si>
  <si>
    <t>31032026</t>
  </si>
  <si>
    <t>Good Darts Prešov</t>
  </si>
  <si>
    <t>1.Dart Club Brezno</t>
  </si>
  <si>
    <t>20260121</t>
  </si>
  <si>
    <t>31922769</t>
  </si>
  <si>
    <t>Podpora klubu pracujúceho s mládežou . Predložená faktúra za dresy</t>
  </si>
  <si>
    <t>Podpora klubu pracujúceho s mládežou : Pokrytie náklôadov na cestovanie na turnajov a za súpermi, nákup športových potrieb</t>
  </si>
  <si>
    <t>Ing. Karol Kirchner</t>
  </si>
  <si>
    <t>Preplatenie hotovostných výdavkov počas pobytu na Európskom pohári Španielsko. Prenájom auta, PHM</t>
  </si>
  <si>
    <t>Preplatenie hotovostných s účasťou na Europskom pohári v Budapešti 13.-14.2.2026</t>
  </si>
  <si>
    <t xml:space="preserve">Zakúpenie súťažných terčov pre potreby mládežníckych turnajov pre mládež. </t>
  </si>
  <si>
    <t>Prenájm súťažných prístrojov pre mládežnícke súťaže 6.1.2025 Košice, 12,2,2025 Bardejov, 6.3.2025 Brezno</t>
  </si>
  <si>
    <t>260001</t>
  </si>
  <si>
    <t>Golden Darts - Chorvátsko</t>
  </si>
  <si>
    <t>08570563218</t>
  </si>
  <si>
    <t>E30</t>
  </si>
  <si>
    <t>V-2025-110 a V-2025-111</t>
  </si>
  <si>
    <t>Ubytovnanie  pre slovenský výber EP Španielsko Salou : K. Kirchner, Dušan Strieš, Erik Poliak, Lucia Jankovská, Veronika Vargová, Adriána Sameková, Jozef Samek, Miroslav Klopan</t>
  </si>
  <si>
    <t>Preplatenie medzinárodných licencií pre slovenských hráčov : Gabriel Váraljay, Peter Jakubis, Ľuboš Pivarč, Dávid Ševce, Erik Poliak, Miroslav Babík, Lucia Jankovská, Martina Sulovská, Katarína Nagyova, Monika Jakubová, Veronika Vargová, Erika Pániková</t>
  </si>
  <si>
    <t>Trofeje záverečné vyhodnotenie sezóny Talenty 2025</t>
  </si>
  <si>
    <t>Športové trofejeTAlenty Soft 25.10.2025</t>
  </si>
  <si>
    <t>Nálepky s popisom pre medaily</t>
  </si>
  <si>
    <t>prenájom web priestoru za webovú prezentáciu www.slovakiadart.sk - čiastočná úhrade-dvojitý účel použitia</t>
  </si>
  <si>
    <t>28090403</t>
  </si>
  <si>
    <t>Bohemiasoft s.r.o.</t>
  </si>
  <si>
    <t>V-2025-023-2</t>
  </si>
  <si>
    <t>12504983</t>
  </si>
  <si>
    <t>Príspevok pre kluby pracujúce s mládežou - kategória STEEL časť - 2 Nájom klubových priestorov, šípkarské terče, trofeje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</si>
</sst>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4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43" val="1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6"/>
      <c r="D1" s="316"/>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5" customHeight="1" x14ac:dyDescent="0.25">
      <c r="A12" s="304" t="s">
        <v>1360</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05"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7"/>
      <c r="D21" s="317"/>
    </row>
    <row r="22" spans="1:4" x14ac:dyDescent="0.25">
      <c r="C22" s="318"/>
      <c r="D22" s="317"/>
    </row>
    <row r="23" spans="1:4" ht="64" x14ac:dyDescent="0.25">
      <c r="A23" s="23" t="s">
        <v>1361</v>
      </c>
      <c r="C23" s="255"/>
      <c r="D23" s="256"/>
    </row>
    <row r="24" spans="1:4" ht="12.75" customHeight="1" x14ac:dyDescent="0.25">
      <c r="C24" s="314"/>
      <c r="D24" s="315"/>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1342</v>
      </c>
    </row>
    <row r="32" spans="1:4" ht="12.65" customHeight="1" x14ac:dyDescent="0.25"/>
    <row r="33" spans="1:3" ht="15.75" customHeight="1" x14ac:dyDescent="0.25">
      <c r="A33" s="19" t="s">
        <v>1343</v>
      </c>
    </row>
    <row r="34" spans="1:3" ht="12.65" customHeight="1" x14ac:dyDescent="0.25"/>
    <row r="35" spans="1:3" ht="52" x14ac:dyDescent="0.25">
      <c r="A35" s="19" t="s">
        <v>1345</v>
      </c>
    </row>
    <row r="36" spans="1:3" ht="12" customHeight="1" x14ac:dyDescent="0.25"/>
    <row r="37" spans="1:3" ht="25.5" x14ac:dyDescent="0.25">
      <c r="A37" s="271" t="s">
        <v>1344</v>
      </c>
    </row>
    <row r="39" spans="1:3" ht="77" x14ac:dyDescent="0.25">
      <c r="A39" s="23" t="s">
        <v>1346</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1348</v>
      </c>
    </row>
    <row r="49" spans="1:1" ht="12" customHeight="1" x14ac:dyDescent="0.25"/>
    <row r="50" spans="1:1" ht="39" x14ac:dyDescent="0.25">
      <c r="A50" s="19" t="s">
        <v>1349</v>
      </c>
    </row>
    <row r="51" spans="1:1" ht="12.75" customHeight="1" x14ac:dyDescent="0.25"/>
    <row r="52" spans="1:1" ht="75.5" x14ac:dyDescent="0.25">
      <c r="A52" s="19" t="s">
        <v>1350</v>
      </c>
    </row>
    <row r="53" spans="1:1" ht="12.75" customHeight="1" x14ac:dyDescent="0.25"/>
    <row r="54" spans="1:1" ht="38.5" x14ac:dyDescent="0.25">
      <c r="A54" s="19" t="s">
        <v>1351</v>
      </c>
    </row>
    <row r="56" spans="1:1" ht="13" x14ac:dyDescent="0.25">
      <c r="A56" s="19" t="s">
        <v>16</v>
      </c>
    </row>
    <row r="58" spans="1:1" ht="13" x14ac:dyDescent="0.25">
      <c r="A58" s="19" t="s">
        <v>17</v>
      </c>
    </row>
    <row r="60" spans="1:1" ht="121.75" customHeight="1" x14ac:dyDescent="0.25">
      <c r="A60" s="23" t="s">
        <v>1352</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1353</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1371</v>
      </c>
    </row>
    <row r="73" spans="1:1" ht="37.5" x14ac:dyDescent="0.25">
      <c r="A73" s="23" t="s">
        <v>1372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1362</v>
      </c>
    </row>
    <row r="96" spans="1:2" x14ac:dyDescent="0.25">
      <c r="A96" s="23"/>
    </row>
    <row r="97" spans="1:4" ht="13" x14ac:dyDescent="0.25">
      <c r="A97" s="260" t="s">
        <v>40</v>
      </c>
    </row>
    <row r="98" spans="1:4" ht="68.5" customHeight="1" x14ac:dyDescent="0.25">
      <c r="A98" s="23" t="s">
        <v>1363</v>
      </c>
    </row>
    <row r="99" spans="1:4" x14ac:dyDescent="0.25">
      <c r="A99" s="23"/>
    </row>
    <row r="100" spans="1:4" ht="13" x14ac:dyDescent="0.25">
      <c r="A100" s="260" t="s">
        <v>41</v>
      </c>
    </row>
    <row r="101" spans="1:4" ht="75.5" x14ac:dyDescent="0.25">
      <c r="A101" s="23" t="s">
        <v>1364</v>
      </c>
    </row>
    <row r="102" spans="1:4" x14ac:dyDescent="0.25">
      <c r="A102" s="23"/>
    </row>
    <row r="103" spans="1:4" ht="13" x14ac:dyDescent="0.25">
      <c r="A103" s="297" t="s">
        <v>42</v>
      </c>
    </row>
    <row r="104" spans="1:4" ht="50.5" x14ac:dyDescent="0.25">
      <c r="A104" s="23" t="s">
        <v>1365</v>
      </c>
    </row>
    <row r="105" spans="1:4" x14ac:dyDescent="0.25">
      <c r="A105" s="23"/>
      <c r="B105" s="20" t="s">
        <v>43</v>
      </c>
    </row>
    <row r="106" spans="1:4" ht="13" x14ac:dyDescent="0.25">
      <c r="A106" s="260" t="s">
        <v>44</v>
      </c>
    </row>
    <row r="107" spans="1:4" ht="71.25" customHeight="1" x14ac:dyDescent="0.25">
      <c r="A107" s="19" t="s">
        <v>1366</v>
      </c>
    </row>
    <row r="108" spans="1:4" ht="37.5" x14ac:dyDescent="0.25">
      <c r="A108" s="19" t="s">
        <v>1356</v>
      </c>
    </row>
    <row r="109" spans="1:4" ht="25" x14ac:dyDescent="0.25">
      <c r="A109" s="19" t="s">
        <v>45</v>
      </c>
    </row>
    <row r="110" spans="1:4" ht="10.5" customHeight="1" x14ac:dyDescent="0.25">
      <c r="D110" s="20" t="s">
        <v>43</v>
      </c>
    </row>
    <row r="111" spans="1:4" ht="99.75" customHeight="1" x14ac:dyDescent="0.25">
      <c r="A111" s="23" t="s">
        <v>1355</v>
      </c>
    </row>
    <row r="112" spans="1:4" ht="26" x14ac:dyDescent="0.25">
      <c r="A112" s="19" t="s">
        <v>1354</v>
      </c>
    </row>
    <row r="114" spans="1:2" ht="175" x14ac:dyDescent="0.25">
      <c r="A114" s="23" t="s">
        <v>1367</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1357</v>
      </c>
    </row>
    <row r="133" spans="1:1" ht="61.5" customHeight="1" x14ac:dyDescent="0.25">
      <c r="A133" s="303" t="s">
        <v>1369</v>
      </c>
    </row>
    <row r="134" spans="1:1" ht="13" x14ac:dyDescent="0.25">
      <c r="A134" s="260" t="s">
        <v>1370</v>
      </c>
    </row>
    <row r="135" spans="1:1" ht="101" x14ac:dyDescent="0.25">
      <c r="A135" s="303" t="s">
        <v>1358</v>
      </c>
    </row>
    <row r="136" spans="1:1" x14ac:dyDescent="0.25">
      <c r="A136"/>
    </row>
    <row r="137" spans="1:1" ht="71.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19" t="s">
        <v>57</v>
      </c>
      <c r="B1" s="319"/>
      <c r="C1" s="319"/>
      <c r="D1" s="319"/>
      <c r="E1" s="319"/>
      <c r="F1" s="319"/>
      <c r="G1" s="319"/>
      <c r="H1" s="319"/>
      <c r="I1" s="52"/>
      <c r="J1" s="37"/>
    </row>
    <row r="2" spans="1:11" ht="15.5" x14ac:dyDescent="0.35">
      <c r="A2" s="325" t="s">
        <v>58</v>
      </c>
      <c r="B2" s="325"/>
      <c r="C2" s="325"/>
      <c r="D2" s="325"/>
      <c r="E2" s="325"/>
      <c r="F2" s="325"/>
      <c r="G2" s="325"/>
      <c r="H2" s="323" t="str">
        <f>+Doklady!I100</f>
        <v>V3</v>
      </c>
      <c r="I2" s="323"/>
    </row>
    <row r="3" spans="1:11" ht="14" x14ac:dyDescent="0.3">
      <c r="A3" s="40"/>
      <c r="B3" s="40"/>
      <c r="C3" s="40"/>
      <c r="D3" s="40"/>
      <c r="E3" s="40"/>
      <c r="F3" s="40"/>
      <c r="G3" s="40"/>
      <c r="H3" s="324">
        <f>+Doklady!I101</f>
        <v>45887</v>
      </c>
      <c r="I3" s="324"/>
    </row>
    <row r="4" spans="1:11" ht="15.75" customHeight="1" x14ac:dyDescent="0.3">
      <c r="A4" s="41" t="s">
        <v>59</v>
      </c>
      <c r="B4" s="320" t="s">
        <v>60</v>
      </c>
      <c r="C4" s="321"/>
      <c r="D4" s="321"/>
      <c r="E4" s="322"/>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48" priority="2" stopIfTrue="1">
      <formula>$A78&lt;&gt;""</formula>
    </cfRule>
  </conditionalFormatting>
  <conditionalFormatting sqref="A8:I76 I78">
    <cfRule type="expression" dxfId="147" priority="7" stopIfTrue="1">
      <formula>$A8&lt;&gt;""</formula>
    </cfRule>
  </conditionalFormatting>
  <conditionalFormatting sqref="B78:H2888">
    <cfRule type="expression" dxfId="146" priority="3" stopIfTrue="1">
      <formula>$A78&lt;&gt;""</formula>
    </cfRule>
  </conditionalFormatting>
  <conditionalFormatting sqref="D2886:D2913">
    <cfRule type="expression" dxfId="14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8" t="s">
        <v>311</v>
      </c>
      <c r="B1" s="329"/>
      <c r="C1" s="174">
        <v>45688</v>
      </c>
      <c r="D1" s="26"/>
      <c r="G1" s="252">
        <v>45688</v>
      </c>
    </row>
    <row r="2" spans="1:7" ht="14" x14ac:dyDescent="0.3">
      <c r="A2" s="28"/>
      <c r="B2" s="28"/>
      <c r="G2" s="252">
        <v>45716</v>
      </c>
    </row>
    <row r="3" spans="1:7" ht="14" x14ac:dyDescent="0.3">
      <c r="A3" s="30" t="s">
        <v>312</v>
      </c>
      <c r="B3" s="326" t="str">
        <f>INDEX(Adr!B:B,Doklady!B102+1)</f>
        <v>Združenie šípkarských organizácií</v>
      </c>
      <c r="C3" s="326"/>
      <c r="D3" s="326"/>
      <c r="G3" s="252">
        <v>45747</v>
      </c>
    </row>
    <row r="4" spans="1:7" ht="14" x14ac:dyDescent="0.3">
      <c r="A4" s="30" t="s">
        <v>313</v>
      </c>
      <c r="B4" s="29" t="str">
        <f>RIGHT("0000"&amp;INDEX(Adr!A:A,Doklady!B102+1),8)</f>
        <v>35538015</v>
      </c>
      <c r="G4" s="252">
        <v>45777</v>
      </c>
    </row>
    <row r="5" spans="1:7" ht="14" x14ac:dyDescent="0.3">
      <c r="A5" s="30" t="s">
        <v>314</v>
      </c>
      <c r="B5" s="29" t="str">
        <f>INDEX(Adr!D:D,Doklady!B102+1)&amp;", "&amp;INDEX(Adr!E:E,Doklady!B102+1)</f>
        <v>Szakkayho 40/1, Košice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47188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47188</v>
      </c>
      <c r="G15" s="252"/>
    </row>
    <row r="16" spans="1:7" ht="14" x14ac:dyDescent="0.3">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4" zoomScaleNormal="100" workbookViewId="0">
      <selection activeCell="J23" sqref="J23"/>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38" t="s">
        <v>329</v>
      </c>
      <c r="B1" s="338"/>
      <c r="C1" s="338"/>
      <c r="D1" s="338"/>
      <c r="E1" s="338"/>
      <c r="F1" s="338"/>
      <c r="G1" s="338"/>
      <c r="H1" s="338"/>
      <c r="I1" s="338"/>
    </row>
    <row r="2" spans="1:26" ht="7.5" customHeight="1" x14ac:dyDescent="0.2">
      <c r="C2" s="8"/>
      <c r="D2" s="8"/>
      <c r="E2" s="8"/>
      <c r="F2" s="8"/>
      <c r="G2" s="8"/>
      <c r="H2" s="8"/>
      <c r="I2" s="8"/>
    </row>
    <row r="3" spans="1:26" s="9" customFormat="1" ht="26.15" customHeight="1" x14ac:dyDescent="0.25">
      <c r="B3" s="160" t="s">
        <v>59</v>
      </c>
      <c r="C3" s="339" t="str">
        <f>INDEX(Adr!B2:B151,Doklady!B102)</f>
        <v>Združenie šípkarských organizácií</v>
      </c>
      <c r="D3" s="339"/>
      <c r="E3" s="339"/>
      <c r="F3" s="339"/>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35538015</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Szakkayho 40/1, Košice, 040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0" t="s">
        <v>334</v>
      </c>
      <c r="F9" s="341"/>
      <c r="J9" s="8"/>
      <c r="L9" s="118"/>
      <c r="M9" s="118"/>
      <c r="N9" s="118"/>
      <c r="O9" s="118"/>
      <c r="P9" s="118"/>
      <c r="Q9" s="118"/>
      <c r="R9" s="118"/>
      <c r="S9" s="118"/>
    </row>
    <row r="10" spans="1:26" ht="18" x14ac:dyDescent="0.4">
      <c r="A10" s="69" t="s">
        <v>317</v>
      </c>
      <c r="B10" s="70" t="s">
        <v>318</v>
      </c>
      <c r="C10" s="126">
        <f>SUMIF(FP!J:J,Doklady!$B$1&amp;A10,FP!D:D)</f>
        <v>0</v>
      </c>
      <c r="D10" s="126">
        <f>C10-E10</f>
        <v>0</v>
      </c>
      <c r="E10" s="331">
        <f>SUMIF(K:K,A10,I:I)</f>
        <v>0</v>
      </c>
      <c r="F10" s="332"/>
      <c r="L10" s="120" t="s">
        <v>335</v>
      </c>
      <c r="M10" s="118"/>
      <c r="N10" s="118"/>
      <c r="O10" s="118"/>
      <c r="P10" s="118"/>
      <c r="Q10" s="118"/>
      <c r="R10" s="118"/>
      <c r="S10" s="118"/>
    </row>
    <row r="11" spans="1:26" ht="18" x14ac:dyDescent="0.4">
      <c r="A11" s="69" t="s">
        <v>319</v>
      </c>
      <c r="B11" s="70" t="s">
        <v>320</v>
      </c>
      <c r="C11" s="126">
        <f>SUMIF(FP!J:J,Doklady!$B$1&amp;A11,FP!D:D)</f>
        <v>47188</v>
      </c>
      <c r="D11" s="126">
        <f>+C11-E11</f>
        <v>47183.590000000004</v>
      </c>
      <c r="E11" s="342">
        <f>+I39-I42+I44-I47</f>
        <v>4.4099999999962165</v>
      </c>
      <c r="F11" s="343"/>
      <c r="J11" s="176"/>
      <c r="L11" s="161" t="str">
        <f>L41</f>
        <v>a - šípky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1">
        <f>SUMIF(K:K,A12,I:I)</f>
        <v>0</v>
      </c>
      <c r="F12" s="332"/>
      <c r="J12" s="177"/>
      <c r="L12" s="161" t="str">
        <f>L42</f>
        <v>a - šípky - kapitálové transfery</v>
      </c>
      <c r="N12" s="118"/>
      <c r="O12" s="118"/>
      <c r="P12" s="118"/>
      <c r="Q12" s="118"/>
      <c r="R12" s="118"/>
      <c r="S12" s="118"/>
    </row>
    <row r="13" spans="1:26" ht="18" x14ac:dyDescent="0.4">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1" t="s">
        <v>337</v>
      </c>
      <c r="C16" s="352"/>
      <c r="D16" s="352"/>
      <c r="E16" s="352"/>
      <c r="F16" s="352"/>
      <c r="G16" s="352"/>
      <c r="H16" s="35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6" t="s">
        <v>340</v>
      </c>
      <c r="C17" s="346"/>
      <c r="D17" s="346"/>
      <c r="E17" s="346"/>
      <c r="F17" s="346"/>
      <c r="G17" s="346"/>
      <c r="H17" s="346"/>
      <c r="I17" s="73">
        <f>SUMIF(FP!I:I,Doklady!$B$1&amp;A17,FP!D:D)</f>
        <v>47188</v>
      </c>
      <c r="T17" s="86"/>
    </row>
    <row r="18" spans="1:20" x14ac:dyDescent="0.2">
      <c r="A18" s="135" t="s">
        <v>341</v>
      </c>
      <c r="B18" s="346" t="s">
        <v>342</v>
      </c>
      <c r="C18" s="346"/>
      <c r="D18" s="346"/>
      <c r="E18" s="346"/>
      <c r="F18" s="346"/>
      <c r="G18" s="346"/>
      <c r="H18" s="346"/>
      <c r="I18" s="73">
        <f>SUMIF(FP!I:I,Doklady!$B$1&amp;A18,FP!D:D)</f>
        <v>0</v>
      </c>
    </row>
    <row r="19" spans="1:20" x14ac:dyDescent="0.2">
      <c r="A19" s="115" t="s">
        <v>343</v>
      </c>
      <c r="B19" s="346" t="s">
        <v>344</v>
      </c>
      <c r="C19" s="346"/>
      <c r="D19" s="346"/>
      <c r="E19" s="346"/>
      <c r="F19" s="346"/>
      <c r="G19" s="346"/>
      <c r="H19" s="346"/>
      <c r="I19" s="73">
        <f>SUMIF(FP!I:I,Doklady!$B$1&amp;A19,FP!D:D)</f>
        <v>0</v>
      </c>
    </row>
    <row r="20" spans="1:20" x14ac:dyDescent="0.2">
      <c r="A20" s="135" t="s">
        <v>345</v>
      </c>
      <c r="B20" s="335" t="s">
        <v>346</v>
      </c>
      <c r="C20" s="336"/>
      <c r="D20" s="336"/>
      <c r="E20" s="336"/>
      <c r="F20" s="336"/>
      <c r="G20" s="336"/>
      <c r="H20" s="337"/>
      <c r="I20" s="73">
        <f>SUMIF(FP!I:I,Doklady!$B$1&amp;A20,FP!D:D)</f>
        <v>0</v>
      </c>
      <c r="T20" s="86"/>
    </row>
    <row r="21" spans="1:20" x14ac:dyDescent="0.2">
      <c r="A21" s="115" t="s">
        <v>347</v>
      </c>
      <c r="B21" s="335" t="s">
        <v>348</v>
      </c>
      <c r="C21" s="336"/>
      <c r="D21" s="336"/>
      <c r="E21" s="336"/>
      <c r="F21" s="336"/>
      <c r="G21" s="336"/>
      <c r="H21" s="337"/>
      <c r="I21" s="73">
        <f>SUMIF(FP!I:I,Doklady!$B$1&amp;A21,FP!D:D)</f>
        <v>0</v>
      </c>
      <c r="T21" s="86"/>
    </row>
    <row r="22" spans="1:20" x14ac:dyDescent="0.2">
      <c r="A22" s="135" t="s">
        <v>349</v>
      </c>
      <c r="B22" s="354" t="s">
        <v>350</v>
      </c>
      <c r="C22" s="355"/>
      <c r="D22" s="355"/>
      <c r="E22" s="355"/>
      <c r="F22" s="355"/>
      <c r="G22" s="355"/>
      <c r="H22" s="356"/>
      <c r="I22" s="73">
        <f>SUMIF(FP!I:I,Doklady!$B$1&amp;A22,FP!D:D)</f>
        <v>0</v>
      </c>
      <c r="T22" s="86"/>
    </row>
    <row r="23" spans="1:20" x14ac:dyDescent="0.2">
      <c r="A23" s="115" t="s">
        <v>351</v>
      </c>
      <c r="B23" s="335" t="s">
        <v>352</v>
      </c>
      <c r="C23" s="336"/>
      <c r="D23" s="336"/>
      <c r="E23" s="336"/>
      <c r="F23" s="336"/>
      <c r="G23" s="336"/>
      <c r="H23" s="337"/>
      <c r="I23" s="73">
        <f>SUMIF(FP!I:I,Doklady!$B$1&amp;A23,FP!D:D)</f>
        <v>0</v>
      </c>
      <c r="T23" s="86"/>
    </row>
    <row r="24" spans="1:20" x14ac:dyDescent="0.2">
      <c r="A24" s="135" t="s">
        <v>353</v>
      </c>
      <c r="B24" s="335" t="s">
        <v>354</v>
      </c>
      <c r="C24" s="336"/>
      <c r="D24" s="336"/>
      <c r="E24" s="336"/>
      <c r="F24" s="336"/>
      <c r="G24" s="336"/>
      <c r="H24" s="337"/>
      <c r="I24" s="73">
        <f>SUMIF(FP!I:I,Doklady!$B$1&amp;A24,FP!D:D)</f>
        <v>0</v>
      </c>
      <c r="T24" s="86"/>
    </row>
    <row r="25" spans="1:20" x14ac:dyDescent="0.2">
      <c r="A25" s="115" t="s">
        <v>355</v>
      </c>
      <c r="B25" s="347" t="s">
        <v>2282</v>
      </c>
      <c r="C25" s="348"/>
      <c r="D25" s="348"/>
      <c r="E25" s="348"/>
      <c r="F25" s="348"/>
      <c r="G25" s="348"/>
      <c r="H25" s="349"/>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57"/>
      <c r="C32" s="358"/>
      <c r="D32" s="358"/>
      <c r="E32" s="358"/>
      <c r="F32" s="358"/>
      <c r="G32" s="358"/>
      <c r="H32" s="359"/>
      <c r="I32" s="73">
        <f>SUMIF(FP!I:I,Doklady!$B$1&amp;A32,FP!D:D)</f>
        <v>0</v>
      </c>
      <c r="T32" s="86"/>
    </row>
    <row r="33" spans="1:21" hidden="1" x14ac:dyDescent="0.2">
      <c r="A33" s="115" t="s">
        <v>367</v>
      </c>
      <c r="B33" s="357"/>
      <c r="C33" s="358"/>
      <c r="D33" s="358"/>
      <c r="E33" s="358"/>
      <c r="F33" s="358"/>
      <c r="G33" s="358"/>
      <c r="H33" s="359"/>
      <c r="I33" s="73">
        <f>SUMIF(FP!I:I,Doklady!$B$1&amp;A33,FP!D:D)</f>
        <v>0</v>
      </c>
      <c r="T33" s="86"/>
    </row>
    <row r="34" spans="1:21" hidden="1" x14ac:dyDescent="0.2">
      <c r="A34" s="135" t="s">
        <v>368</v>
      </c>
      <c r="B34" s="360"/>
      <c r="C34" s="360"/>
      <c r="D34" s="360"/>
      <c r="E34" s="360"/>
      <c r="F34" s="360"/>
      <c r="G34" s="360"/>
      <c r="H34" s="36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šípky</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9437.6</v>
      </c>
      <c r="D39" s="78">
        <f>I39*0.2</f>
        <v>9437.6</v>
      </c>
      <c r="E39" s="78">
        <f>I39*0.25</f>
        <v>11797</v>
      </c>
      <c r="F39" s="78">
        <f>+I39*0.15</f>
        <v>7078.2</v>
      </c>
      <c r="G39" s="78">
        <f>+MAX(I39-C39-D39-E39-F39-H39,0)</f>
        <v>9437.6000000000022</v>
      </c>
      <c r="H39" s="78">
        <f>+IFERROR(VLOOKUP(K40&amp;" - kapitálové transfery",B$53:C$90,2,0),0)</f>
        <v>0</v>
      </c>
      <c r="I39" s="73">
        <f>SUMIF(FP!K:K,K40,FP!D:D)</f>
        <v>47188</v>
      </c>
      <c r="L39" s="84">
        <f>COUNTIF(FP!N:N,Doklady!B1&amp;"aK")</f>
        <v>0</v>
      </c>
      <c r="T39" s="86"/>
    </row>
    <row r="40" spans="1:21" x14ac:dyDescent="0.2">
      <c r="A40" s="115" t="s">
        <v>339</v>
      </c>
      <c r="B40" s="116" t="s">
        <v>373</v>
      </c>
      <c r="C40" s="78">
        <f>DSUM(Doklady!A103:J10000,"GGG",Spolu!L40:M42)</f>
        <v>9437.6</v>
      </c>
      <c r="D40" s="78">
        <f>DSUM(Doklady!A103:J10000,"GGG",Spolu!N40:O42)</f>
        <v>9499.7000000000007</v>
      </c>
      <c r="E40" s="78">
        <f>DSUM(Doklady!A103:J10000,"GGG",Spolu!P40:Q42)</f>
        <v>11792.59</v>
      </c>
      <c r="F40" s="78">
        <f>DSUM(Doklady!A103:J10000,"GGG",Spolu!R40:S42)</f>
        <v>6468.2899999999991</v>
      </c>
      <c r="G40" s="78">
        <f>DSUM(Doklady!A103:J10000,"GGG",Spolu!T40:U42)-H40</f>
        <v>9992.7900000000009</v>
      </c>
      <c r="H40" s="78">
        <f>+IFERROR(VLOOKUP(K40&amp;" - kapitálové transfery",B$53:D$90,3,0),0)</f>
        <v>0</v>
      </c>
      <c r="I40" s="73">
        <f>+C40+D40+E40+F40+G40+H40</f>
        <v>47190.97</v>
      </c>
      <c r="J40" s="218" t="str">
        <f>+K45</f>
        <v>.</v>
      </c>
      <c r="K40" s="218" t="str">
        <f>IF(L38&gt;0,INDEX(FP!K:K,Doklady!B2),".")</f>
        <v>šípky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4.4099999999998545</v>
      </c>
      <c r="F41" s="78">
        <f>MIN(I39,MAX(-F39+F40,0))</f>
        <v>0</v>
      </c>
      <c r="G41" s="78">
        <f>MIN(J39,MAX(-G39+G40+MIN(F40-F39,0),0))</f>
        <v>0</v>
      </c>
      <c r="H41" s="78">
        <f>MAX(H39-H40,0)</f>
        <v>0</v>
      </c>
      <c r="I41" s="124">
        <f>+I39-I42</f>
        <v>4.4099999999962165</v>
      </c>
      <c r="J41" s="219">
        <f>+K46</f>
        <v>0</v>
      </c>
      <c r="K41" s="219">
        <f>+I41-H41</f>
        <v>4.4099999999962165</v>
      </c>
      <c r="L41" s="161" t="str">
        <f>IF(L38&gt;0,"a - "&amp;INDEX(FP!C:C,Doklady!B2),2)</f>
        <v>a - šípky - bežné transfery</v>
      </c>
      <c r="M41" s="120">
        <v>1</v>
      </c>
      <c r="N41" s="161" t="str">
        <f>+L41</f>
        <v>a - šípky - bežné transfery</v>
      </c>
      <c r="O41" s="120">
        <v>2</v>
      </c>
      <c r="P41" s="161" t="str">
        <f>+L41</f>
        <v>a - šípky - bežné transfery</v>
      </c>
      <c r="Q41" s="120">
        <v>3</v>
      </c>
      <c r="R41" s="161" t="str">
        <f>+L41</f>
        <v>a - šípky - bežné transfery</v>
      </c>
      <c r="S41" s="120">
        <v>4</v>
      </c>
      <c r="T41" s="161" t="str">
        <f>+L41</f>
        <v>a - šípky - bežné transfery</v>
      </c>
      <c r="U41" s="120">
        <v>5</v>
      </c>
    </row>
    <row r="42" spans="1:21" ht="10.5" customHeight="1" x14ac:dyDescent="0.2">
      <c r="A42" s="115" t="s">
        <v>339</v>
      </c>
      <c r="B42" s="116" t="s">
        <v>376</v>
      </c>
      <c r="C42" s="73">
        <f>+C40</f>
        <v>9437.6</v>
      </c>
      <c r="D42" s="216">
        <f>+D40</f>
        <v>9499.7000000000007</v>
      </c>
      <c r="E42" s="216">
        <f>+E40</f>
        <v>11792.59</v>
      </c>
      <c r="F42" s="216">
        <f>+MIN(F39:F40)</f>
        <v>6468.2899999999991</v>
      </c>
      <c r="G42" s="216">
        <f>+MIN(G39+MAX(F39-F40,0)-MAX(E40-E39,0)-MAX(D40-D39,0)-MAX(C40-C39,0),G40)</f>
        <v>9985.4100000000017</v>
      </c>
      <c r="H42" s="216">
        <f>+MIN(H39:H40)</f>
        <v>0</v>
      </c>
      <c r="I42" s="73">
        <f>+C42+D42+E42+MIN(F39:F40)+G42+H42</f>
        <v>47183.590000000004</v>
      </c>
      <c r="J42" s="219">
        <f>+K47</f>
        <v>0</v>
      </c>
      <c r="K42" s="219">
        <f>+I42-H42</f>
        <v>47183.590000000004</v>
      </c>
      <c r="L42" s="161" t="str">
        <f>+SUBSTITUTE(L41,"bežné","kapitálové")</f>
        <v>a - šípky - kapitálové transfery</v>
      </c>
      <c r="M42" s="120">
        <v>1</v>
      </c>
      <c r="N42" s="161" t="str">
        <f>+L42</f>
        <v>a - šípky - kapitálové transfery</v>
      </c>
      <c r="O42" s="120">
        <v>2</v>
      </c>
      <c r="P42" s="161" t="str">
        <f>+L42</f>
        <v>a - šípky - kapitálové transfery</v>
      </c>
      <c r="Q42" s="120">
        <v>3</v>
      </c>
      <c r="R42" s="161" t="str">
        <f>+L42</f>
        <v>a - šípky - kapitálové transfery</v>
      </c>
      <c r="S42" s="120">
        <v>4</v>
      </c>
      <c r="T42" s="161" t="str">
        <f>+L42</f>
        <v>a - šípky - kapitálové transfery</v>
      </c>
      <c r="U42" s="120">
        <v>5</v>
      </c>
    </row>
    <row r="43" spans="1:21" ht="31.5"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3"/>
      <c r="B50" s="334"/>
      <c r="C50" s="334"/>
      <c r="D50" s="334"/>
      <c r="E50" s="334"/>
      <c r="F50" s="334"/>
      <c r="G50" s="334"/>
      <c r="H50" s="334"/>
      <c r="I50" s="334"/>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šípky - bežné transfery</v>
      </c>
      <c r="C53" s="73">
        <f>IF(A53&lt;&gt;"",INDEX(FP!D:D,Doklady!B$2+(ROW()-53)),"")</f>
        <v>47188</v>
      </c>
      <c r="D53" s="73">
        <f>IF(A53&lt;&gt;"",Doklady!I1-Doklady!J1,"")</f>
        <v>47190.969999999994</v>
      </c>
      <c r="E53" s="73">
        <f>IF(A53&lt;&gt;"",MIN(D53,C53)*Doklady!C1/(1-Doklady!C1),"")</f>
        <v>0</v>
      </c>
      <c r="F53" s="71">
        <f>IF(A53&lt;&gt;"",Doklady!J1,"")</f>
        <v>0</v>
      </c>
      <c r="G53" s="73">
        <f>+IFERROR(HLOOKUP(IF(RIGHT(B53,15)="bežné transfery",LEFT(B53,LEN(B53)-18),0),$J$40:$K$42,3,0),MIN(C53,D53))</f>
        <v>47183.590000000004</v>
      </c>
      <c r="H53" s="71"/>
      <c r="I53" s="73">
        <f>IF(A53&lt;&gt;"",MAX(IF(G53&lt;C53,C53-G53,0)+IF(F53&lt;E53,E53-F53,0),0),0)</f>
        <v>4.4099999999962165</v>
      </c>
      <c r="J53" s="84" t="str">
        <f>IF(D53&gt;C53,"Vyúčtované prostriedky nemôžu byť väčšie ako poskytnuté. Opravte v hárku ""Doklady""","")</f>
        <v>Vyúčtované prostriedky nemôžu byť väčšie ako poskytnuté. Opravte v hárku "Doklady"</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47188</v>
      </c>
      <c r="D130" s="228">
        <f t="shared" ref="D130:I130" si="9">SUM(D53:D129)</f>
        <v>47190.969999999994</v>
      </c>
      <c r="E130" s="228">
        <f t="shared" si="9"/>
        <v>0</v>
      </c>
      <c r="F130" s="228">
        <f t="shared" si="9"/>
        <v>0</v>
      </c>
      <c r="G130" s="228">
        <f t="shared" si="9"/>
        <v>47183.590000000004</v>
      </c>
      <c r="H130" s="228">
        <f t="shared" si="9"/>
        <v>0</v>
      </c>
      <c r="I130" s="228">
        <f t="shared" si="9"/>
        <v>4.4099999999962165</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81"/>
      <c r="C140" s="229"/>
      <c r="D140" s="350"/>
      <c r="E140" s="350"/>
      <c r="F140" s="350"/>
      <c r="G140" s="350"/>
      <c r="H140" s="350"/>
      <c r="I140" s="350"/>
      <c r="J140" s="85"/>
    </row>
    <row r="141" spans="1:26" ht="68.25" customHeight="1" x14ac:dyDescent="0.25">
      <c r="A141" s="9"/>
      <c r="B141" s="283" t="s">
        <v>393</v>
      </c>
      <c r="C141" s="214"/>
      <c r="D141" s="330" t="s">
        <v>394</v>
      </c>
      <c r="E141" s="330"/>
      <c r="F141" s="330"/>
      <c r="G141" s="330"/>
      <c r="H141" s="330"/>
      <c r="I141" s="330"/>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44" priority="43" stopIfTrue="1" operator="lessThanOrEqual">
      <formula>0</formula>
    </cfRule>
    <cfRule type="cellIs" dxfId="143" priority="44" stopIfTrue="1" operator="greaterThan">
      <formula>0</formula>
    </cfRule>
  </conditionalFormatting>
  <conditionalFormatting sqref="D53:D129">
    <cfRule type="expression" dxfId="142" priority="31" stopIfTrue="1">
      <formula>$C53=$D53</formula>
    </cfRule>
    <cfRule type="expression" dxfId="141" priority="33" stopIfTrue="1">
      <formula>$C53&lt;&gt;$D53</formula>
    </cfRule>
  </conditionalFormatting>
  <conditionalFormatting sqref="E9:F9">
    <cfRule type="expression" dxfId="140" priority="38" stopIfTrue="1">
      <formula>SUM($E$10:$F$14)&gt;0</formula>
    </cfRule>
  </conditionalFormatting>
  <conditionalFormatting sqref="G53:G129">
    <cfRule type="expression" dxfId="139" priority="13" stopIfTrue="1">
      <formula>$C53=$G53</formula>
    </cfRule>
    <cfRule type="expression" dxfId="138" priority="14" stopIfTrue="1">
      <formula>$C53&lt;&gt;$G53</formula>
    </cfRule>
  </conditionalFormatting>
  <conditionalFormatting sqref="I42">
    <cfRule type="cellIs" dxfId="137" priority="1" stopIfTrue="1" operator="greaterThan">
      <formula>0</formula>
    </cfRule>
  </conditionalFormatting>
  <conditionalFormatting sqref="I47">
    <cfRule type="cellIs" dxfId="136" priority="15" stopIfTrue="1" operator="greaterThan">
      <formula>0</formula>
    </cfRule>
  </conditionalFormatting>
  <conditionalFormatting sqref="I53:I129">
    <cfRule type="cellIs" dxfId="135" priority="40" stopIfTrue="1" operator="equal">
      <formula>0</formula>
    </cfRule>
    <cfRule type="cellIs" dxfId="13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F146" sqref="F146"/>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šípky - bežné transfery</v>
      </c>
      <c r="B1" s="232" t="str">
        <f>INDEX(Adr!A:A,B102+1)</f>
        <v>35538015</v>
      </c>
      <c r="C1" s="233">
        <f>IF(ROW()&lt;=B$3,INDEX(FP!E:E,B$2+ROW()-1),"")</f>
        <v>0</v>
      </c>
      <c r="D1" s="234" t="str">
        <f>IF(ROW()&lt;=B$3,INDEX(FP!F:F,B$2+ROW()-1),"")</f>
        <v>a</v>
      </c>
      <c r="E1" s="234"/>
      <c r="F1" s="234" t="str">
        <f>IF(ROW()&lt;=B$3,INDEX(FP!G:G,B$2+ROW()-1),"")</f>
        <v>026 02</v>
      </c>
      <c r="G1" s="234"/>
      <c r="H1" s="235" t="str">
        <f>IF(ROW()&lt;=B$3,INDEX(FP!C:C,B$2+ROW()-1),"")</f>
        <v>šípky - bežné transfery</v>
      </c>
      <c r="I1" s="236">
        <f t="shared" ref="I1:I6" si="0">IF(ROW()&lt;=B$3,SUMIF(A$107:A$10042,A1,I$107:I$10042),"")</f>
        <v>47190.969999999994</v>
      </c>
      <c r="J1" s="236">
        <f t="shared" ref="J1:J32" si="1">IF(ROW()&lt;=B$3,SUMIFS(I$103:I$50042,A$103:A$50042,K1,J$103:J$50042,L1),"")</f>
        <v>0</v>
      </c>
      <c r="K1" s="110" t="str">
        <f>$A1</f>
        <v>a - šípky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395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329</v>
      </c>
      <c r="B100" s="361"/>
      <c r="C100" s="361"/>
      <c r="D100" s="361"/>
      <c r="E100" s="361"/>
      <c r="F100" s="361"/>
      <c r="G100" s="361"/>
      <c r="H100" s="361"/>
      <c r="I100" s="363" t="s">
        <v>2271</v>
      </c>
      <c r="J100" s="363"/>
      <c r="K100" s="89"/>
    </row>
    <row r="101" spans="1:25" ht="15.5" x14ac:dyDescent="0.35">
      <c r="A101" s="361"/>
      <c r="B101" s="361"/>
      <c r="C101" s="361"/>
      <c r="D101" s="361"/>
      <c r="E101" s="361"/>
      <c r="F101" s="361"/>
      <c r="G101" s="361"/>
      <c r="H101" s="361"/>
      <c r="I101" s="362">
        <v>45887</v>
      </c>
      <c r="J101" s="362"/>
    </row>
    <row r="102" spans="1:25" ht="14" x14ac:dyDescent="0.3">
      <c r="A102" s="249" t="s">
        <v>399</v>
      </c>
      <c r="B102" s="250">
        <v>143</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2293</v>
      </c>
      <c r="B107" s="14" t="s">
        <v>2294</v>
      </c>
      <c r="C107" s="14" t="s">
        <v>2295</v>
      </c>
      <c r="D107" s="16">
        <v>45846</v>
      </c>
      <c r="E107" s="16"/>
      <c r="F107" s="14" t="s">
        <v>2296</v>
      </c>
      <c r="G107" s="14" t="s">
        <v>2297</v>
      </c>
      <c r="H107" s="14" t="s">
        <v>2298</v>
      </c>
      <c r="I107" s="15">
        <v>30</v>
      </c>
      <c r="J107" s="77">
        <v>4</v>
      </c>
      <c r="K107" s="92"/>
    </row>
    <row r="108" spans="1:25" ht="40" x14ac:dyDescent="0.25">
      <c r="A108" s="14" t="s">
        <v>2293</v>
      </c>
      <c r="B108" s="14" t="s">
        <v>2299</v>
      </c>
      <c r="C108" s="14" t="s">
        <v>2306</v>
      </c>
      <c r="D108" s="16">
        <v>45851</v>
      </c>
      <c r="E108" s="16"/>
      <c r="F108" s="14" t="s">
        <v>2305</v>
      </c>
      <c r="G108" s="14" t="s">
        <v>2307</v>
      </c>
      <c r="H108" s="14" t="s">
        <v>2304</v>
      </c>
      <c r="I108" s="15">
        <v>75.040000000000006</v>
      </c>
      <c r="J108" s="77">
        <v>2</v>
      </c>
      <c r="K108" s="92"/>
    </row>
    <row r="109" spans="1:25" ht="12.5" x14ac:dyDescent="0.25">
      <c r="A109" s="14" t="s">
        <v>2293</v>
      </c>
      <c r="B109" s="14" t="s">
        <v>2300</v>
      </c>
      <c r="C109" s="14" t="s">
        <v>2310</v>
      </c>
      <c r="D109" s="16">
        <v>45853</v>
      </c>
      <c r="E109" s="16"/>
      <c r="F109" s="14" t="s">
        <v>2327</v>
      </c>
      <c r="G109" s="14" t="s">
        <v>2308</v>
      </c>
      <c r="H109" s="14" t="s">
        <v>2309</v>
      </c>
      <c r="I109" s="15">
        <v>166.32</v>
      </c>
      <c r="J109" s="77">
        <v>4</v>
      </c>
      <c r="K109" s="92"/>
    </row>
    <row r="110" spans="1:25" ht="12.5" x14ac:dyDescent="0.25">
      <c r="A110" s="14" t="s">
        <v>2293</v>
      </c>
      <c r="B110" s="14" t="s">
        <v>2301</v>
      </c>
      <c r="C110" s="14" t="s">
        <v>2312</v>
      </c>
      <c r="D110" s="16">
        <v>45853</v>
      </c>
      <c r="E110" s="16"/>
      <c r="F110" s="14" t="s">
        <v>2311</v>
      </c>
      <c r="G110" s="14" t="s">
        <v>2313</v>
      </c>
      <c r="H110" s="14" t="s">
        <v>2314</v>
      </c>
      <c r="I110" s="15">
        <v>230.3</v>
      </c>
      <c r="J110" s="77">
        <v>5</v>
      </c>
      <c r="K110" s="92"/>
    </row>
    <row r="111" spans="1:25" ht="12.5" x14ac:dyDescent="0.25">
      <c r="A111" s="14" t="s">
        <v>2293</v>
      </c>
      <c r="B111" s="14" t="s">
        <v>2302</v>
      </c>
      <c r="C111" s="14" t="s">
        <v>2316</v>
      </c>
      <c r="D111" s="16">
        <v>45853</v>
      </c>
      <c r="E111" s="16"/>
      <c r="F111" s="14" t="s">
        <v>2315</v>
      </c>
      <c r="G111" s="14" t="s">
        <v>2313</v>
      </c>
      <c r="H111" s="14" t="s">
        <v>2314</v>
      </c>
      <c r="I111" s="15">
        <v>259.95999999999998</v>
      </c>
      <c r="J111" s="77">
        <v>5</v>
      </c>
      <c r="K111" s="92"/>
    </row>
    <row r="112" spans="1:25" ht="20" x14ac:dyDescent="0.25">
      <c r="A112" s="14" t="s">
        <v>2293</v>
      </c>
      <c r="B112" s="14" t="s">
        <v>2303</v>
      </c>
      <c r="C112" s="14" t="s">
        <v>2317</v>
      </c>
      <c r="D112" s="16">
        <v>45853</v>
      </c>
      <c r="E112" s="16"/>
      <c r="F112" s="14" t="s">
        <v>2548</v>
      </c>
      <c r="G112" s="14" t="s">
        <v>2313</v>
      </c>
      <c r="H112" s="14" t="s">
        <v>2314</v>
      </c>
      <c r="I112" s="15">
        <v>390.03</v>
      </c>
      <c r="J112" s="77">
        <v>2</v>
      </c>
      <c r="K112" s="92"/>
    </row>
    <row r="113" spans="1:11" ht="20" x14ac:dyDescent="0.25">
      <c r="A113" s="14" t="s">
        <v>2293</v>
      </c>
      <c r="B113" s="14" t="s">
        <v>2318</v>
      </c>
      <c r="C113" s="14" t="s">
        <v>2323</v>
      </c>
      <c r="D113" s="16">
        <v>45861</v>
      </c>
      <c r="E113" s="16"/>
      <c r="F113" s="14" t="s">
        <v>2321</v>
      </c>
      <c r="G113" s="14"/>
      <c r="H113" s="14" t="s">
        <v>2320</v>
      </c>
      <c r="I113" s="15">
        <v>485.61</v>
      </c>
      <c r="J113" s="77">
        <v>2</v>
      </c>
      <c r="K113" s="92"/>
    </row>
    <row r="114" spans="1:11" ht="12.5" x14ac:dyDescent="0.25">
      <c r="A114" s="14" t="s">
        <v>2293</v>
      </c>
      <c r="B114" s="14" t="s">
        <v>2319</v>
      </c>
      <c r="C114" s="14" t="s">
        <v>2325</v>
      </c>
      <c r="D114" s="16">
        <v>45869</v>
      </c>
      <c r="E114" s="16"/>
      <c r="F114" s="14" t="s">
        <v>2322</v>
      </c>
      <c r="G114" s="14" t="s">
        <v>2297</v>
      </c>
      <c r="H114" s="14" t="s">
        <v>2298</v>
      </c>
      <c r="I114" s="15">
        <v>5</v>
      </c>
      <c r="J114" s="77">
        <v>4</v>
      </c>
      <c r="K114" s="92"/>
    </row>
    <row r="115" spans="1:11" ht="12.5" x14ac:dyDescent="0.25">
      <c r="A115" s="14" t="s">
        <v>2293</v>
      </c>
      <c r="B115" s="14" t="s">
        <v>2324</v>
      </c>
      <c r="C115" s="14" t="s">
        <v>2326</v>
      </c>
      <c r="D115" s="16">
        <v>45900</v>
      </c>
      <c r="E115" s="16"/>
      <c r="F115" s="14" t="s">
        <v>2322</v>
      </c>
      <c r="G115" s="14" t="s">
        <v>2297</v>
      </c>
      <c r="H115" s="14" t="s">
        <v>2298</v>
      </c>
      <c r="I115" s="15">
        <v>5</v>
      </c>
      <c r="J115" s="77">
        <v>4</v>
      </c>
      <c r="K115" s="92"/>
    </row>
    <row r="116" spans="1:11" ht="12.5" x14ac:dyDescent="0.25">
      <c r="A116" s="14" t="s">
        <v>2293</v>
      </c>
      <c r="B116" s="14" t="s">
        <v>2330</v>
      </c>
      <c r="C116" s="14" t="s">
        <v>2329</v>
      </c>
      <c r="D116" s="16">
        <v>45902</v>
      </c>
      <c r="E116" s="16"/>
      <c r="F116" s="14" t="s">
        <v>2328</v>
      </c>
      <c r="G116" s="14" t="s">
        <v>2308</v>
      </c>
      <c r="H116" s="14" t="s">
        <v>2309</v>
      </c>
      <c r="I116" s="15">
        <v>166.32</v>
      </c>
      <c r="J116" s="77">
        <v>4</v>
      </c>
      <c r="K116" s="92"/>
    </row>
    <row r="117" spans="1:11" ht="12.5" x14ac:dyDescent="0.25">
      <c r="A117" s="14" t="s">
        <v>2293</v>
      </c>
      <c r="B117" s="14" t="s">
        <v>2331</v>
      </c>
      <c r="C117" s="14" t="s">
        <v>2336</v>
      </c>
      <c r="D117" s="16">
        <v>45918</v>
      </c>
      <c r="E117" s="16"/>
      <c r="F117" s="14" t="s">
        <v>2337</v>
      </c>
      <c r="G117" s="14" t="s">
        <v>2308</v>
      </c>
      <c r="H117" s="14" t="s">
        <v>2309</v>
      </c>
      <c r="I117" s="15">
        <v>166.32</v>
      </c>
      <c r="J117" s="77">
        <v>4</v>
      </c>
      <c r="K117" s="92"/>
    </row>
    <row r="118" spans="1:11" ht="50" x14ac:dyDescent="0.25">
      <c r="A118" s="14" t="s">
        <v>2293</v>
      </c>
      <c r="B118" s="14" t="s">
        <v>2332</v>
      </c>
      <c r="C118" s="14" t="s">
        <v>2334</v>
      </c>
      <c r="D118" s="16">
        <v>45918</v>
      </c>
      <c r="E118" s="16"/>
      <c r="F118" s="14" t="s">
        <v>2333</v>
      </c>
      <c r="G118" s="14" t="s">
        <v>2338</v>
      </c>
      <c r="H118" s="14" t="s">
        <v>2335</v>
      </c>
      <c r="I118" s="15">
        <v>169.37</v>
      </c>
      <c r="J118" s="77">
        <v>3</v>
      </c>
      <c r="K118" s="92"/>
    </row>
    <row r="119" spans="1:11" ht="20" x14ac:dyDescent="0.25">
      <c r="A119" s="14" t="s">
        <v>2293</v>
      </c>
      <c r="B119" s="14" t="s">
        <v>2339</v>
      </c>
      <c r="C119" s="14" t="s">
        <v>2342</v>
      </c>
      <c r="D119" s="16">
        <v>45924</v>
      </c>
      <c r="E119" s="16"/>
      <c r="F119" s="14" t="s">
        <v>2343</v>
      </c>
      <c r="G119" s="14" t="s">
        <v>2341</v>
      </c>
      <c r="H119" s="14" t="s">
        <v>2340</v>
      </c>
      <c r="I119" s="15">
        <v>374.33</v>
      </c>
      <c r="J119" s="77">
        <v>3</v>
      </c>
      <c r="K119" s="92"/>
    </row>
    <row r="120" spans="1:11" ht="12.5" x14ac:dyDescent="0.25">
      <c r="A120" s="14" t="s">
        <v>2293</v>
      </c>
      <c r="B120" s="14" t="s">
        <v>2345</v>
      </c>
      <c r="C120" s="14" t="s">
        <v>2344</v>
      </c>
      <c r="D120" s="16">
        <v>45930</v>
      </c>
      <c r="E120" s="16"/>
      <c r="F120" s="14" t="s">
        <v>2322</v>
      </c>
      <c r="G120" s="14" t="s">
        <v>2297</v>
      </c>
      <c r="H120" s="14" t="s">
        <v>2298</v>
      </c>
      <c r="I120" s="15">
        <v>5</v>
      </c>
      <c r="J120" s="77">
        <v>4</v>
      </c>
      <c r="K120" s="92"/>
    </row>
    <row r="121" spans="1:11" ht="12.5" x14ac:dyDescent="0.25">
      <c r="A121" s="14" t="s">
        <v>2293</v>
      </c>
      <c r="B121" s="14" t="s">
        <v>2346</v>
      </c>
      <c r="C121" s="14" t="s">
        <v>2371</v>
      </c>
      <c r="D121" s="16">
        <v>45941</v>
      </c>
      <c r="E121" s="16"/>
      <c r="F121" s="14" t="s">
        <v>2368</v>
      </c>
      <c r="G121" s="14" t="s">
        <v>2369</v>
      </c>
      <c r="H121" s="14" t="s">
        <v>2370</v>
      </c>
      <c r="I121" s="15">
        <v>300</v>
      </c>
      <c r="J121" s="77">
        <v>4</v>
      </c>
      <c r="K121" s="92"/>
    </row>
    <row r="122" spans="1:11" ht="12.5" x14ac:dyDescent="0.25">
      <c r="A122" s="14" t="s">
        <v>2293</v>
      </c>
      <c r="B122" s="14" t="s">
        <v>2347</v>
      </c>
      <c r="C122" s="14" t="s">
        <v>2372</v>
      </c>
      <c r="D122" s="16">
        <v>45941</v>
      </c>
      <c r="E122" s="16"/>
      <c r="F122" s="14" t="s">
        <v>2368</v>
      </c>
      <c r="G122" s="14" t="s">
        <v>2369</v>
      </c>
      <c r="H122" s="14" t="s">
        <v>2370</v>
      </c>
      <c r="I122" s="15">
        <v>300</v>
      </c>
      <c r="J122" s="77">
        <v>4</v>
      </c>
      <c r="K122" s="92"/>
    </row>
    <row r="123" spans="1:11" ht="12.5" x14ac:dyDescent="0.25">
      <c r="A123" s="14" t="s">
        <v>2293</v>
      </c>
      <c r="B123" s="14" t="s">
        <v>2348</v>
      </c>
      <c r="C123" s="14" t="s">
        <v>2374</v>
      </c>
      <c r="D123" s="16">
        <v>45950</v>
      </c>
      <c r="E123" s="16"/>
      <c r="F123" s="14" t="s">
        <v>2373</v>
      </c>
      <c r="G123" s="14" t="s">
        <v>2308</v>
      </c>
      <c r="H123" s="14" t="s">
        <v>2309</v>
      </c>
      <c r="I123" s="15">
        <v>166.32</v>
      </c>
      <c r="J123" s="77">
        <v>4</v>
      </c>
      <c r="K123" s="92"/>
    </row>
    <row r="124" spans="1:11" ht="12.5" x14ac:dyDescent="0.25">
      <c r="A124" s="14" t="s">
        <v>2293</v>
      </c>
      <c r="B124" s="14" t="s">
        <v>2349</v>
      </c>
      <c r="C124" s="14" t="s">
        <v>2375</v>
      </c>
      <c r="D124" s="16">
        <v>45961</v>
      </c>
      <c r="E124" s="16"/>
      <c r="F124" s="14" t="s">
        <v>2322</v>
      </c>
      <c r="G124" s="14" t="s">
        <v>2297</v>
      </c>
      <c r="H124" s="14" t="s">
        <v>2298</v>
      </c>
      <c r="I124" s="15">
        <v>5</v>
      </c>
      <c r="J124" s="77">
        <v>4</v>
      </c>
      <c r="K124" s="92"/>
    </row>
    <row r="125" spans="1:11" ht="40" x14ac:dyDescent="0.25">
      <c r="A125" s="14" t="s">
        <v>2293</v>
      </c>
      <c r="B125" s="14" t="s">
        <v>2350</v>
      </c>
      <c r="C125" s="14" t="s">
        <v>2394</v>
      </c>
      <c r="D125" s="16">
        <v>45972</v>
      </c>
      <c r="E125" s="16"/>
      <c r="F125" s="14" t="s">
        <v>2377</v>
      </c>
      <c r="G125" s="14"/>
      <c r="H125" s="14" t="s">
        <v>2376</v>
      </c>
      <c r="I125" s="15">
        <v>75</v>
      </c>
      <c r="J125" s="77">
        <v>3</v>
      </c>
      <c r="K125" s="92"/>
    </row>
    <row r="126" spans="1:11" ht="40" x14ac:dyDescent="0.25">
      <c r="A126" s="14" t="s">
        <v>2293</v>
      </c>
      <c r="B126" s="14" t="s">
        <v>2351</v>
      </c>
      <c r="C126" s="14" t="s">
        <v>2394</v>
      </c>
      <c r="D126" s="16">
        <v>45972</v>
      </c>
      <c r="E126" s="16"/>
      <c r="F126" s="14" t="s">
        <v>2377</v>
      </c>
      <c r="G126" s="14"/>
      <c r="H126" s="14" t="s">
        <v>2378</v>
      </c>
      <c r="I126" s="15">
        <v>75</v>
      </c>
      <c r="J126" s="77">
        <v>2</v>
      </c>
      <c r="K126" s="92"/>
    </row>
    <row r="127" spans="1:11" ht="40" x14ac:dyDescent="0.25">
      <c r="A127" s="14" t="s">
        <v>2293</v>
      </c>
      <c r="B127" s="14" t="s">
        <v>2352</v>
      </c>
      <c r="C127" s="14" t="s">
        <v>2394</v>
      </c>
      <c r="D127" s="16">
        <v>45972</v>
      </c>
      <c r="E127" s="16"/>
      <c r="F127" s="14" t="s">
        <v>2377</v>
      </c>
      <c r="G127" s="14"/>
      <c r="H127" s="14" t="s">
        <v>2379</v>
      </c>
      <c r="I127" s="15">
        <v>75</v>
      </c>
      <c r="J127" s="77">
        <v>2</v>
      </c>
      <c r="K127" s="92"/>
    </row>
    <row r="128" spans="1:11" ht="40" x14ac:dyDescent="0.25">
      <c r="A128" s="14" t="s">
        <v>2293</v>
      </c>
      <c r="B128" s="14" t="s">
        <v>2353</v>
      </c>
      <c r="C128" s="14" t="s">
        <v>2394</v>
      </c>
      <c r="D128" s="16">
        <v>45972</v>
      </c>
      <c r="E128" s="16"/>
      <c r="F128" s="14" t="s">
        <v>2377</v>
      </c>
      <c r="G128" s="14"/>
      <c r="H128" s="14" t="s">
        <v>2380</v>
      </c>
      <c r="I128" s="15">
        <v>75</v>
      </c>
      <c r="J128" s="77">
        <v>3</v>
      </c>
      <c r="K128" s="92"/>
    </row>
    <row r="129" spans="1:11" ht="40" x14ac:dyDescent="0.25">
      <c r="A129" s="14" t="s">
        <v>2293</v>
      </c>
      <c r="B129" s="14" t="s">
        <v>2354</v>
      </c>
      <c r="C129" s="14" t="s">
        <v>2394</v>
      </c>
      <c r="D129" s="16">
        <v>45972</v>
      </c>
      <c r="E129" s="16"/>
      <c r="F129" s="14" t="s">
        <v>2377</v>
      </c>
      <c r="G129" s="14"/>
      <c r="H129" s="14" t="s">
        <v>2381</v>
      </c>
      <c r="I129" s="15">
        <v>75</v>
      </c>
      <c r="J129" s="77">
        <v>3</v>
      </c>
      <c r="K129" s="92"/>
    </row>
    <row r="130" spans="1:11" ht="40" x14ac:dyDescent="0.25">
      <c r="A130" s="14" t="s">
        <v>2293</v>
      </c>
      <c r="B130" s="14" t="s">
        <v>2355</v>
      </c>
      <c r="C130" s="14" t="s">
        <v>2394</v>
      </c>
      <c r="D130" s="16">
        <v>45972</v>
      </c>
      <c r="E130" s="16"/>
      <c r="F130" s="14" t="s">
        <v>2377</v>
      </c>
      <c r="G130" s="14"/>
      <c r="H130" s="14" t="s">
        <v>2382</v>
      </c>
      <c r="I130" s="15">
        <v>75</v>
      </c>
      <c r="J130" s="77">
        <v>3</v>
      </c>
      <c r="K130" s="92"/>
    </row>
    <row r="131" spans="1:11" ht="40" x14ac:dyDescent="0.25">
      <c r="A131" s="14" t="s">
        <v>2293</v>
      </c>
      <c r="B131" s="14" t="s">
        <v>2356</v>
      </c>
      <c r="C131" s="14" t="s">
        <v>2394</v>
      </c>
      <c r="D131" s="16">
        <v>45972</v>
      </c>
      <c r="E131" s="16"/>
      <c r="F131" s="14" t="s">
        <v>2377</v>
      </c>
      <c r="G131" s="14"/>
      <c r="H131" s="14" t="s">
        <v>2383</v>
      </c>
      <c r="I131" s="15">
        <v>75</v>
      </c>
      <c r="J131" s="77">
        <v>3</v>
      </c>
      <c r="K131" s="92"/>
    </row>
    <row r="132" spans="1:11" ht="40" x14ac:dyDescent="0.25">
      <c r="A132" s="14" t="s">
        <v>2293</v>
      </c>
      <c r="B132" s="14" t="s">
        <v>2357</v>
      </c>
      <c r="C132" s="14" t="s">
        <v>2394</v>
      </c>
      <c r="D132" s="16">
        <v>45972</v>
      </c>
      <c r="E132" s="16"/>
      <c r="F132" s="14" t="s">
        <v>2377</v>
      </c>
      <c r="G132" s="14"/>
      <c r="H132" s="14" t="s">
        <v>2384</v>
      </c>
      <c r="I132" s="15">
        <v>75</v>
      </c>
      <c r="J132" s="77">
        <v>3</v>
      </c>
      <c r="K132" s="92"/>
    </row>
    <row r="133" spans="1:11" ht="40" x14ac:dyDescent="0.25">
      <c r="A133" s="14" t="s">
        <v>2293</v>
      </c>
      <c r="B133" s="14" t="s">
        <v>2358</v>
      </c>
      <c r="C133" s="14" t="s">
        <v>2394</v>
      </c>
      <c r="D133" s="16">
        <v>45972</v>
      </c>
      <c r="E133" s="16"/>
      <c r="F133" s="14" t="s">
        <v>2377</v>
      </c>
      <c r="G133" s="14"/>
      <c r="H133" s="14" t="s">
        <v>2385</v>
      </c>
      <c r="I133" s="15">
        <v>75</v>
      </c>
      <c r="J133" s="77">
        <v>3</v>
      </c>
      <c r="K133" s="92"/>
    </row>
    <row r="134" spans="1:11" ht="40" x14ac:dyDescent="0.25">
      <c r="A134" s="14" t="s">
        <v>2293</v>
      </c>
      <c r="B134" s="14" t="s">
        <v>2359</v>
      </c>
      <c r="C134" s="14" t="s">
        <v>2394</v>
      </c>
      <c r="D134" s="16">
        <v>45972</v>
      </c>
      <c r="E134" s="16"/>
      <c r="F134" s="14" t="s">
        <v>2377</v>
      </c>
      <c r="G134" s="14"/>
      <c r="H134" s="14" t="s">
        <v>2386</v>
      </c>
      <c r="I134" s="15">
        <v>75</v>
      </c>
      <c r="J134" s="77">
        <v>2</v>
      </c>
      <c r="K134" s="92"/>
    </row>
    <row r="135" spans="1:11" ht="40" x14ac:dyDescent="0.25">
      <c r="A135" s="14" t="s">
        <v>2293</v>
      </c>
      <c r="B135" s="14" t="s">
        <v>2360</v>
      </c>
      <c r="C135" s="14" t="s">
        <v>2394</v>
      </c>
      <c r="D135" s="16">
        <v>45972</v>
      </c>
      <c r="E135" s="16"/>
      <c r="F135" s="14" t="s">
        <v>2377</v>
      </c>
      <c r="G135" s="14"/>
      <c r="H135" s="14" t="s">
        <v>2387</v>
      </c>
      <c r="I135" s="15">
        <v>75</v>
      </c>
      <c r="J135" s="77">
        <v>3</v>
      </c>
      <c r="K135" s="92"/>
    </row>
    <row r="136" spans="1:11" ht="20" x14ac:dyDescent="0.25">
      <c r="A136" s="14" t="s">
        <v>2293</v>
      </c>
      <c r="B136" s="14" t="s">
        <v>2361</v>
      </c>
      <c r="C136" s="14" t="s">
        <v>2393</v>
      </c>
      <c r="D136" s="16">
        <v>45974</v>
      </c>
      <c r="E136" s="16"/>
      <c r="F136" s="14" t="s">
        <v>2388</v>
      </c>
      <c r="G136" s="14"/>
      <c r="H136" s="14" t="s">
        <v>2399</v>
      </c>
      <c r="I136" s="15">
        <v>180</v>
      </c>
      <c r="J136" s="77">
        <v>4</v>
      </c>
      <c r="K136" s="92"/>
    </row>
    <row r="137" spans="1:11" ht="12.5" x14ac:dyDescent="0.25">
      <c r="A137" s="14" t="s">
        <v>2293</v>
      </c>
      <c r="B137" s="14" t="s">
        <v>2362</v>
      </c>
      <c r="C137" s="14" t="s">
        <v>2393</v>
      </c>
      <c r="D137" s="16">
        <v>45974</v>
      </c>
      <c r="E137" s="16"/>
      <c r="F137" s="14" t="s">
        <v>2389</v>
      </c>
      <c r="G137" s="14"/>
      <c r="H137" s="14" t="s">
        <v>2399</v>
      </c>
      <c r="I137" s="15">
        <v>841.75</v>
      </c>
      <c r="J137" s="77">
        <v>4</v>
      </c>
      <c r="K137" s="92"/>
    </row>
    <row r="138" spans="1:11" ht="12.5" x14ac:dyDescent="0.25">
      <c r="A138" s="14" t="s">
        <v>2293</v>
      </c>
      <c r="B138" s="14" t="s">
        <v>2363</v>
      </c>
      <c r="C138" s="14" t="s">
        <v>2393</v>
      </c>
      <c r="D138" s="16">
        <v>45974</v>
      </c>
      <c r="E138" s="16"/>
      <c r="F138" s="14" t="s">
        <v>2390</v>
      </c>
      <c r="G138" s="14"/>
      <c r="H138" s="14" t="s">
        <v>2399</v>
      </c>
      <c r="I138" s="15">
        <v>415.2</v>
      </c>
      <c r="J138" s="77">
        <v>4</v>
      </c>
      <c r="K138" s="92"/>
    </row>
    <row r="139" spans="1:11" ht="12.5" x14ac:dyDescent="0.25">
      <c r="A139" s="14" t="s">
        <v>2293</v>
      </c>
      <c r="B139" s="14" t="s">
        <v>2364</v>
      </c>
      <c r="C139" s="14" t="s">
        <v>2393</v>
      </c>
      <c r="D139" s="16">
        <v>45974</v>
      </c>
      <c r="E139" s="16"/>
      <c r="F139" s="14" t="s">
        <v>2391</v>
      </c>
      <c r="G139" s="14"/>
      <c r="H139" s="14" t="s">
        <v>2399</v>
      </c>
      <c r="I139" s="15">
        <v>197.45</v>
      </c>
      <c r="J139" s="77">
        <v>4</v>
      </c>
      <c r="K139" s="92"/>
    </row>
    <row r="140" spans="1:11" ht="12.5" x14ac:dyDescent="0.25">
      <c r="A140" s="14" t="s">
        <v>2293</v>
      </c>
      <c r="B140" s="14" t="s">
        <v>2365</v>
      </c>
      <c r="C140" s="14" t="s">
        <v>2392</v>
      </c>
      <c r="D140" s="16">
        <v>45991</v>
      </c>
      <c r="E140" s="16"/>
      <c r="F140" s="14" t="s">
        <v>2322</v>
      </c>
      <c r="G140" s="14" t="s">
        <v>2297</v>
      </c>
      <c r="H140" s="14" t="s">
        <v>2298</v>
      </c>
      <c r="I140" s="15">
        <v>5</v>
      </c>
      <c r="J140" s="77">
        <v>4</v>
      </c>
      <c r="K140" s="92"/>
    </row>
    <row r="141" spans="1:11" ht="12.5" x14ac:dyDescent="0.25">
      <c r="A141" s="14" t="s">
        <v>2293</v>
      </c>
      <c r="B141" s="14" t="s">
        <v>2366</v>
      </c>
      <c r="C141" s="14" t="s">
        <v>2397</v>
      </c>
      <c r="D141" s="16">
        <v>45993</v>
      </c>
      <c r="E141" s="16"/>
      <c r="F141" s="14" t="s">
        <v>2395</v>
      </c>
      <c r="G141" s="14" t="s">
        <v>2308</v>
      </c>
      <c r="H141" s="14" t="s">
        <v>2309</v>
      </c>
      <c r="I141" s="15">
        <v>166.32</v>
      </c>
      <c r="J141" s="77">
        <v>4</v>
      </c>
      <c r="K141" s="92"/>
    </row>
    <row r="142" spans="1:11" ht="12.5" x14ac:dyDescent="0.25">
      <c r="A142" s="14" t="s">
        <v>2293</v>
      </c>
      <c r="B142" s="14" t="s">
        <v>2367</v>
      </c>
      <c r="C142" s="14" t="s">
        <v>2398</v>
      </c>
      <c r="D142" s="16">
        <v>45999</v>
      </c>
      <c r="E142" s="16"/>
      <c r="F142" s="14" t="s">
        <v>2396</v>
      </c>
      <c r="G142" s="14" t="s">
        <v>2308</v>
      </c>
      <c r="H142" s="14" t="s">
        <v>2309</v>
      </c>
      <c r="I142" s="15">
        <v>166.32</v>
      </c>
      <c r="J142" s="77">
        <v>4</v>
      </c>
      <c r="K142" s="92"/>
    </row>
    <row r="143" spans="1:11" ht="12.5" x14ac:dyDescent="0.25">
      <c r="A143" s="14" t="s">
        <v>2293</v>
      </c>
      <c r="B143" s="14" t="s">
        <v>2400</v>
      </c>
      <c r="C143" s="14" t="s">
        <v>2427</v>
      </c>
      <c r="D143" s="16">
        <v>45999</v>
      </c>
      <c r="E143" s="16"/>
      <c r="F143" s="14" t="s">
        <v>2550</v>
      </c>
      <c r="G143" s="14" t="s">
        <v>2426</v>
      </c>
      <c r="H143" s="14" t="s">
        <v>2425</v>
      </c>
      <c r="I143" s="15">
        <v>59.04</v>
      </c>
      <c r="J143" s="77">
        <v>2</v>
      </c>
      <c r="K143" s="92"/>
    </row>
    <row r="144" spans="1:11" ht="20" x14ac:dyDescent="0.25">
      <c r="A144" s="14" t="s">
        <v>2293</v>
      </c>
      <c r="B144" s="14" t="s">
        <v>2401</v>
      </c>
      <c r="C144" s="14" t="s">
        <v>2375</v>
      </c>
      <c r="D144" s="16">
        <v>45999</v>
      </c>
      <c r="E144" s="16"/>
      <c r="F144" s="14" t="s">
        <v>2428</v>
      </c>
      <c r="G144" s="14" t="s">
        <v>2430</v>
      </c>
      <c r="H144" s="14" t="s">
        <v>2429</v>
      </c>
      <c r="I144" s="15">
        <v>175</v>
      </c>
      <c r="J144" s="77">
        <v>5</v>
      </c>
      <c r="K144" s="92"/>
    </row>
    <row r="145" spans="1:11" ht="30" x14ac:dyDescent="0.25">
      <c r="A145" s="14" t="s">
        <v>2293</v>
      </c>
      <c r="B145" s="14" t="s">
        <v>2402</v>
      </c>
      <c r="C145" s="14" t="s">
        <v>2433</v>
      </c>
      <c r="D145" s="16">
        <v>46000</v>
      </c>
      <c r="E145" s="16"/>
      <c r="F145" s="14" t="s">
        <v>2556</v>
      </c>
      <c r="G145" s="14" t="s">
        <v>2435</v>
      </c>
      <c r="H145" s="14" t="s">
        <v>2434</v>
      </c>
      <c r="I145" s="15">
        <v>111.2</v>
      </c>
      <c r="J145" s="77">
        <v>1</v>
      </c>
      <c r="K145" s="92"/>
    </row>
    <row r="146" spans="1:11" ht="20" x14ac:dyDescent="0.25">
      <c r="A146" s="14" t="s">
        <v>2293</v>
      </c>
      <c r="B146" s="14" t="s">
        <v>2403</v>
      </c>
      <c r="C146" s="14" t="s">
        <v>2436</v>
      </c>
      <c r="D146" s="16">
        <v>46003</v>
      </c>
      <c r="E146" s="16"/>
      <c r="F146" s="14" t="s">
        <v>2439</v>
      </c>
      <c r="G146" s="14" t="s">
        <v>2430</v>
      </c>
      <c r="H146" s="14" t="s">
        <v>2429</v>
      </c>
      <c r="I146" s="15">
        <v>6048</v>
      </c>
      <c r="J146" s="77">
        <v>3</v>
      </c>
      <c r="K146" s="92"/>
    </row>
    <row r="147" spans="1:11" ht="12.5" x14ac:dyDescent="0.25">
      <c r="A147" s="14" t="s">
        <v>2293</v>
      </c>
      <c r="B147" s="14" t="s">
        <v>2404</v>
      </c>
      <c r="C147" s="14" t="s">
        <v>2438</v>
      </c>
      <c r="D147" s="16">
        <v>46003</v>
      </c>
      <c r="E147" s="16"/>
      <c r="F147" s="14" t="s">
        <v>2437</v>
      </c>
      <c r="G147" s="14" t="s">
        <v>2430</v>
      </c>
      <c r="H147" s="14" t="s">
        <v>2429</v>
      </c>
      <c r="I147" s="15">
        <v>4032</v>
      </c>
      <c r="J147" s="77">
        <v>2</v>
      </c>
      <c r="K147" s="92"/>
    </row>
    <row r="148" spans="1:11" ht="20" x14ac:dyDescent="0.25">
      <c r="A148" s="14" t="s">
        <v>2293</v>
      </c>
      <c r="B148" s="14" t="s">
        <v>2405</v>
      </c>
      <c r="C148" s="14" t="s">
        <v>2440</v>
      </c>
      <c r="D148" s="16">
        <v>46009</v>
      </c>
      <c r="E148" s="16"/>
      <c r="F148" s="14" t="s">
        <v>2441</v>
      </c>
      <c r="G148" s="14" t="s">
        <v>2443</v>
      </c>
      <c r="H148" s="14" t="s">
        <v>2442</v>
      </c>
      <c r="I148" s="15">
        <v>1943</v>
      </c>
      <c r="J148" s="77">
        <v>3</v>
      </c>
      <c r="K148" s="92"/>
    </row>
    <row r="149" spans="1:11" ht="60" x14ac:dyDescent="0.25">
      <c r="A149" s="14" t="s">
        <v>2293</v>
      </c>
      <c r="B149" s="14" t="s">
        <v>2406</v>
      </c>
      <c r="C149" s="14" t="s">
        <v>2447</v>
      </c>
      <c r="D149" s="16">
        <v>46007</v>
      </c>
      <c r="E149" s="16"/>
      <c r="F149" s="14" t="s">
        <v>2547</v>
      </c>
      <c r="G149" s="14" t="s">
        <v>2446</v>
      </c>
      <c r="H149" s="14" t="s">
        <v>2444</v>
      </c>
      <c r="I149" s="15">
        <v>300</v>
      </c>
      <c r="J149" s="77">
        <v>3</v>
      </c>
      <c r="K149" s="92"/>
    </row>
    <row r="150" spans="1:11" ht="40" x14ac:dyDescent="0.25">
      <c r="A150" s="14" t="s">
        <v>2293</v>
      </c>
      <c r="B150" s="14" t="s">
        <v>2407</v>
      </c>
      <c r="C150" s="14" t="s">
        <v>2448</v>
      </c>
      <c r="D150" s="16">
        <v>46007</v>
      </c>
      <c r="E150" s="16"/>
      <c r="F150" s="14" t="s">
        <v>2445</v>
      </c>
      <c r="G150" s="14" t="s">
        <v>2446</v>
      </c>
      <c r="H150" s="14" t="s">
        <v>2444</v>
      </c>
      <c r="I150" s="15">
        <v>150</v>
      </c>
      <c r="J150" s="77">
        <v>2</v>
      </c>
      <c r="K150" s="92"/>
    </row>
    <row r="151" spans="1:11" ht="20" x14ac:dyDescent="0.25">
      <c r="A151" s="14" t="s">
        <v>2293</v>
      </c>
      <c r="B151" s="14" t="s">
        <v>2408</v>
      </c>
      <c r="C151" s="14" t="s">
        <v>2451</v>
      </c>
      <c r="D151" s="16">
        <v>46008</v>
      </c>
      <c r="E151" s="16"/>
      <c r="F151" s="14" t="s">
        <v>2450</v>
      </c>
      <c r="G151" s="14"/>
      <c r="H151" s="14" t="s">
        <v>2449</v>
      </c>
      <c r="I151" s="15">
        <v>1000</v>
      </c>
      <c r="J151" s="77">
        <v>4</v>
      </c>
      <c r="K151" s="92"/>
    </row>
    <row r="152" spans="1:11" ht="30" x14ac:dyDescent="0.25">
      <c r="A152" s="14" t="s">
        <v>2293</v>
      </c>
      <c r="B152" s="14" t="s">
        <v>2409</v>
      </c>
      <c r="C152" s="14" t="s">
        <v>2453</v>
      </c>
      <c r="D152" s="16">
        <v>46009</v>
      </c>
      <c r="E152" s="16"/>
      <c r="F152" s="14" t="s">
        <v>2452</v>
      </c>
      <c r="G152" s="14" t="s">
        <v>2313</v>
      </c>
      <c r="H152" s="14" t="s">
        <v>2314</v>
      </c>
      <c r="I152" s="15">
        <v>2360</v>
      </c>
      <c r="J152" s="77">
        <v>5</v>
      </c>
      <c r="K152" s="92"/>
    </row>
    <row r="153" spans="1:11" ht="20" x14ac:dyDescent="0.25">
      <c r="A153" s="14" t="s">
        <v>2293</v>
      </c>
      <c r="B153" s="14" t="s">
        <v>2410</v>
      </c>
      <c r="C153" s="14" t="s">
        <v>2456</v>
      </c>
      <c r="D153" s="16">
        <v>46009</v>
      </c>
      <c r="E153" s="16"/>
      <c r="F153" s="14" t="s">
        <v>2455</v>
      </c>
      <c r="G153" s="14" t="s">
        <v>2457</v>
      </c>
      <c r="H153" s="14" t="s">
        <v>2454</v>
      </c>
      <c r="I153" s="15">
        <v>196.8</v>
      </c>
      <c r="J153" s="77">
        <v>5</v>
      </c>
      <c r="K153" s="92"/>
    </row>
    <row r="154" spans="1:11" ht="30" x14ac:dyDescent="0.25">
      <c r="A154" s="14" t="s">
        <v>2293</v>
      </c>
      <c r="B154" s="14" t="s">
        <v>2411</v>
      </c>
      <c r="C154" s="14" t="s">
        <v>2459</v>
      </c>
      <c r="D154" s="16">
        <v>46009</v>
      </c>
      <c r="E154" s="16"/>
      <c r="F154" s="14" t="s">
        <v>2461</v>
      </c>
      <c r="G154" s="14"/>
      <c r="H154" s="14" t="s">
        <v>2458</v>
      </c>
      <c r="I154" s="15">
        <v>751.73</v>
      </c>
      <c r="J154" s="77">
        <v>4</v>
      </c>
      <c r="K154" s="92"/>
    </row>
    <row r="155" spans="1:11" ht="20" x14ac:dyDescent="0.25">
      <c r="A155" s="14" t="s">
        <v>2293</v>
      </c>
      <c r="B155" s="14" t="s">
        <v>2412</v>
      </c>
      <c r="C155" s="14" t="s">
        <v>2459</v>
      </c>
      <c r="D155" s="16">
        <v>46009</v>
      </c>
      <c r="E155" s="16"/>
      <c r="F155" s="14" t="s">
        <v>2460</v>
      </c>
      <c r="G155" s="14" t="s">
        <v>2446</v>
      </c>
      <c r="H155" s="14" t="s">
        <v>2444</v>
      </c>
      <c r="I155" s="15">
        <v>250</v>
      </c>
      <c r="J155" s="77">
        <v>4</v>
      </c>
      <c r="K155" s="92"/>
    </row>
    <row r="156" spans="1:11" ht="30" x14ac:dyDescent="0.25">
      <c r="A156" s="14" t="s">
        <v>2293</v>
      </c>
      <c r="B156" s="14" t="s">
        <v>2413</v>
      </c>
      <c r="C156" s="14" t="s">
        <v>2464</v>
      </c>
      <c r="D156" s="16">
        <v>46011</v>
      </c>
      <c r="E156" s="16"/>
      <c r="F156" s="14" t="s">
        <v>2463</v>
      </c>
      <c r="G156" s="14"/>
      <c r="H156" s="14" t="s">
        <v>2462</v>
      </c>
      <c r="I156" s="15">
        <v>770.64</v>
      </c>
      <c r="J156" s="77">
        <v>4</v>
      </c>
      <c r="K156" s="92"/>
    </row>
    <row r="157" spans="1:11" ht="20" x14ac:dyDescent="0.25">
      <c r="A157" s="14" t="s">
        <v>2293</v>
      </c>
      <c r="B157" s="14" t="s">
        <v>2414</v>
      </c>
      <c r="C157" s="14" t="s">
        <v>2469</v>
      </c>
      <c r="D157" s="16">
        <v>46020</v>
      </c>
      <c r="E157" s="16"/>
      <c r="F157" s="14" t="s">
        <v>2468</v>
      </c>
      <c r="G157" s="14"/>
      <c r="H157" s="14" t="s">
        <v>2399</v>
      </c>
      <c r="I157" s="15">
        <v>45</v>
      </c>
      <c r="J157" s="77">
        <v>4</v>
      </c>
      <c r="K157" s="92"/>
    </row>
    <row r="158" spans="1:11" ht="12.5" x14ac:dyDescent="0.25">
      <c r="A158" s="14" t="s">
        <v>2293</v>
      </c>
      <c r="B158" s="14" t="s">
        <v>2415</v>
      </c>
      <c r="C158" s="14" t="s">
        <v>2469</v>
      </c>
      <c r="D158" s="16">
        <v>46020</v>
      </c>
      <c r="E158" s="16"/>
      <c r="F158" s="14" t="s">
        <v>2465</v>
      </c>
      <c r="G158" s="14"/>
      <c r="H158" s="14" t="s">
        <v>2399</v>
      </c>
      <c r="I158" s="15">
        <v>210.44</v>
      </c>
      <c r="J158" s="77">
        <v>4</v>
      </c>
      <c r="K158" s="92"/>
    </row>
    <row r="159" spans="1:11" ht="12.5" x14ac:dyDescent="0.25">
      <c r="A159" s="14" t="s">
        <v>2293</v>
      </c>
      <c r="B159" s="14" t="s">
        <v>2416</v>
      </c>
      <c r="C159" s="14" t="s">
        <v>2469</v>
      </c>
      <c r="D159" s="16">
        <v>46020</v>
      </c>
      <c r="E159" s="16"/>
      <c r="F159" s="14" t="s">
        <v>2466</v>
      </c>
      <c r="G159" s="14"/>
      <c r="H159" s="14" t="s">
        <v>2399</v>
      </c>
      <c r="I159" s="15">
        <v>103.8</v>
      </c>
      <c r="J159" s="77">
        <v>4</v>
      </c>
      <c r="K159" s="92"/>
    </row>
    <row r="160" spans="1:11" ht="12.5" x14ac:dyDescent="0.25">
      <c r="A160" s="14" t="s">
        <v>2293</v>
      </c>
      <c r="B160" s="14" t="s">
        <v>2417</v>
      </c>
      <c r="C160" s="14" t="s">
        <v>2469</v>
      </c>
      <c r="D160" s="16">
        <v>46020</v>
      </c>
      <c r="E160" s="16"/>
      <c r="F160" s="14" t="s">
        <v>2467</v>
      </c>
      <c r="G160" s="14"/>
      <c r="H160" s="14" t="s">
        <v>2399</v>
      </c>
      <c r="I160" s="15">
        <v>49.36</v>
      </c>
      <c r="J160" s="77">
        <v>4</v>
      </c>
      <c r="K160" s="92"/>
    </row>
    <row r="161" spans="1:11" ht="12.5" x14ac:dyDescent="0.25">
      <c r="A161" s="14" t="s">
        <v>2293</v>
      </c>
      <c r="B161" s="14" t="s">
        <v>2418</v>
      </c>
      <c r="C161" s="14" t="s">
        <v>2470</v>
      </c>
      <c r="D161" s="16">
        <v>46021</v>
      </c>
      <c r="E161" s="16"/>
      <c r="F161" s="14" t="s">
        <v>2549</v>
      </c>
      <c r="G161" s="14" t="s">
        <v>2313</v>
      </c>
      <c r="H161" s="14" t="s">
        <v>2314</v>
      </c>
      <c r="I161" s="15">
        <v>142.1</v>
      </c>
      <c r="J161" s="77">
        <v>2</v>
      </c>
      <c r="K161" s="92"/>
    </row>
    <row r="162" spans="1:11" ht="20" x14ac:dyDescent="0.25">
      <c r="A162" s="14" t="s">
        <v>2293</v>
      </c>
      <c r="B162" s="14" t="s">
        <v>2419</v>
      </c>
      <c r="C162" s="14"/>
      <c r="D162" s="16">
        <v>46021</v>
      </c>
      <c r="E162" s="16"/>
      <c r="F162" s="14" t="s">
        <v>2471</v>
      </c>
      <c r="G162" s="14" t="s">
        <v>2432</v>
      </c>
      <c r="H162" s="14" t="s">
        <v>2431</v>
      </c>
      <c r="I162" s="15">
        <v>350</v>
      </c>
      <c r="J162" s="77">
        <v>1</v>
      </c>
      <c r="K162" s="92"/>
    </row>
    <row r="163" spans="1:11" ht="20" x14ac:dyDescent="0.25">
      <c r="A163" s="14" t="s">
        <v>2293</v>
      </c>
      <c r="B163" s="14" t="s">
        <v>2420</v>
      </c>
      <c r="C163" s="14"/>
      <c r="D163" s="16">
        <v>46021</v>
      </c>
      <c r="E163" s="16"/>
      <c r="F163" s="14" t="s">
        <v>2471</v>
      </c>
      <c r="G163" s="14" t="s">
        <v>2474</v>
      </c>
      <c r="H163" s="14" t="s">
        <v>2472</v>
      </c>
      <c r="I163" s="15">
        <v>350</v>
      </c>
      <c r="J163" s="77">
        <v>1</v>
      </c>
      <c r="K163" s="92"/>
    </row>
    <row r="164" spans="1:11" ht="20" x14ac:dyDescent="0.25">
      <c r="A164" s="14" t="s">
        <v>2293</v>
      </c>
      <c r="B164" s="14" t="s">
        <v>2421</v>
      </c>
      <c r="C164" s="14"/>
      <c r="D164" s="16">
        <v>46022</v>
      </c>
      <c r="E164" s="16"/>
      <c r="F164" s="14" t="s">
        <v>2471</v>
      </c>
      <c r="G164" s="14" t="s">
        <v>2474</v>
      </c>
      <c r="H164" s="14" t="s">
        <v>2472</v>
      </c>
      <c r="I164" s="15">
        <v>990</v>
      </c>
      <c r="J164" s="77">
        <v>1</v>
      </c>
      <c r="K164" s="92"/>
    </row>
    <row r="165" spans="1:11" ht="20" x14ac:dyDescent="0.25">
      <c r="A165" s="14" t="s">
        <v>2293</v>
      </c>
      <c r="B165" s="14" t="s">
        <v>2422</v>
      </c>
      <c r="C165" s="14"/>
      <c r="D165" s="16">
        <v>46022</v>
      </c>
      <c r="E165" s="16"/>
      <c r="F165" s="14" t="s">
        <v>2471</v>
      </c>
      <c r="G165" s="14" t="s">
        <v>2475</v>
      </c>
      <c r="H165" s="14" t="s">
        <v>2473</v>
      </c>
      <c r="I165" s="15">
        <v>1000</v>
      </c>
      <c r="J165" s="77">
        <v>1</v>
      </c>
      <c r="K165" s="92"/>
    </row>
    <row r="166" spans="1:11" ht="30" x14ac:dyDescent="0.25">
      <c r="A166" s="14" t="s">
        <v>2293</v>
      </c>
      <c r="B166" s="14" t="s">
        <v>2423</v>
      </c>
      <c r="C166" s="14" t="s">
        <v>2478</v>
      </c>
      <c r="D166" s="16">
        <v>46080</v>
      </c>
      <c r="E166" s="16"/>
      <c r="F166" s="14" t="s">
        <v>2476</v>
      </c>
      <c r="G166" s="14" t="s">
        <v>2479</v>
      </c>
      <c r="H166" s="14" t="s">
        <v>2477</v>
      </c>
      <c r="I166" s="15">
        <v>981.89</v>
      </c>
      <c r="J166" s="77">
        <v>3</v>
      </c>
      <c r="K166" s="92"/>
    </row>
    <row r="167" spans="1:11" ht="20" x14ac:dyDescent="0.25">
      <c r="A167" s="14" t="s">
        <v>2293</v>
      </c>
      <c r="B167" s="14" t="s">
        <v>2424</v>
      </c>
      <c r="C167" s="14" t="s">
        <v>2483</v>
      </c>
      <c r="D167" s="16">
        <v>46084</v>
      </c>
      <c r="E167" s="16"/>
      <c r="F167" s="14" t="s">
        <v>2480</v>
      </c>
      <c r="G167" s="14" t="s">
        <v>2482</v>
      </c>
      <c r="H167" s="14" t="s">
        <v>2481</v>
      </c>
      <c r="I167" s="15">
        <v>1520</v>
      </c>
      <c r="J167" s="77">
        <v>5</v>
      </c>
      <c r="K167" s="92"/>
    </row>
    <row r="168" spans="1:11" ht="30" x14ac:dyDescent="0.25">
      <c r="A168" s="14" t="s">
        <v>2293</v>
      </c>
      <c r="B168" s="14" t="s">
        <v>2484</v>
      </c>
      <c r="C168" s="14" t="s">
        <v>2488</v>
      </c>
      <c r="D168" s="16">
        <v>46084</v>
      </c>
      <c r="E168" s="16"/>
      <c r="F168" s="14" t="s">
        <v>2487</v>
      </c>
      <c r="G168" s="14" t="s">
        <v>2486</v>
      </c>
      <c r="H168" s="14" t="s">
        <v>2485</v>
      </c>
      <c r="I168" s="15">
        <v>420</v>
      </c>
      <c r="J168" s="77">
        <v>5</v>
      </c>
      <c r="K168" s="92"/>
    </row>
    <row r="169" spans="1:11" ht="20" x14ac:dyDescent="0.25">
      <c r="A169" s="14" t="s">
        <v>2293</v>
      </c>
      <c r="B169" s="14" t="s">
        <v>2489</v>
      </c>
      <c r="C169" s="14"/>
      <c r="D169" s="16">
        <v>46085</v>
      </c>
      <c r="E169" s="16"/>
      <c r="F169" s="14" t="s">
        <v>2490</v>
      </c>
      <c r="G169" s="14" t="s">
        <v>2432</v>
      </c>
      <c r="H169" s="14" t="s">
        <v>2431</v>
      </c>
      <c r="I169" s="15">
        <v>1300</v>
      </c>
      <c r="J169" s="77">
        <v>1</v>
      </c>
      <c r="K169" s="92"/>
    </row>
    <row r="170" spans="1:11" ht="12.5" x14ac:dyDescent="0.25">
      <c r="A170" s="14" t="s">
        <v>2293</v>
      </c>
      <c r="B170" s="14" t="s">
        <v>2495</v>
      </c>
      <c r="C170" s="14"/>
      <c r="D170" s="16"/>
      <c r="E170" s="16"/>
      <c r="F170" s="14" t="s">
        <v>2490</v>
      </c>
      <c r="G170" s="14"/>
      <c r="H170" s="14" t="s">
        <v>2491</v>
      </c>
      <c r="I170" s="15">
        <v>1160</v>
      </c>
      <c r="J170" s="77">
        <v>1</v>
      </c>
      <c r="K170" s="92"/>
    </row>
    <row r="171" spans="1:11" ht="50" x14ac:dyDescent="0.25">
      <c r="A171" s="14" t="s">
        <v>2293</v>
      </c>
      <c r="B171" s="14" t="s">
        <v>2496</v>
      </c>
      <c r="C171" s="14" t="s">
        <v>2494</v>
      </c>
      <c r="D171" s="16">
        <v>46086</v>
      </c>
      <c r="E171" s="16"/>
      <c r="F171" s="14" t="s">
        <v>2546</v>
      </c>
      <c r="G171" s="14" t="s">
        <v>2493</v>
      </c>
      <c r="H171" s="14" t="s">
        <v>2492</v>
      </c>
      <c r="I171" s="15">
        <v>1293</v>
      </c>
      <c r="J171" s="77">
        <v>3</v>
      </c>
      <c r="K171" s="92"/>
    </row>
    <row r="172" spans="1:11" ht="20" x14ac:dyDescent="0.25">
      <c r="A172" s="14" t="s">
        <v>2293</v>
      </c>
      <c r="B172" s="14" t="s">
        <v>2500</v>
      </c>
      <c r="C172" s="14" t="s">
        <v>2514</v>
      </c>
      <c r="D172" s="16">
        <v>46105</v>
      </c>
      <c r="E172" s="16"/>
      <c r="F172" s="14" t="s">
        <v>2498</v>
      </c>
      <c r="G172" s="14"/>
      <c r="H172" s="14" t="s">
        <v>2497</v>
      </c>
      <c r="I172" s="15">
        <v>705</v>
      </c>
      <c r="J172" s="77">
        <v>5</v>
      </c>
      <c r="K172" s="92"/>
    </row>
    <row r="173" spans="1:11" ht="20" x14ac:dyDescent="0.25">
      <c r="A173" s="14" t="s">
        <v>2293</v>
      </c>
      <c r="B173" s="14" t="s">
        <v>2501</v>
      </c>
      <c r="C173" s="14" t="s">
        <v>2515</v>
      </c>
      <c r="D173" s="16">
        <v>46105</v>
      </c>
      <c r="E173" s="16"/>
      <c r="F173" s="14" t="s">
        <v>2499</v>
      </c>
      <c r="G173" s="14"/>
      <c r="H173" s="14" t="s">
        <v>2497</v>
      </c>
      <c r="I173" s="15">
        <v>1615</v>
      </c>
      <c r="J173" s="77">
        <v>5</v>
      </c>
      <c r="K173" s="92"/>
    </row>
    <row r="174" spans="1:11" ht="30" x14ac:dyDescent="0.25">
      <c r="A174" s="14" t="s">
        <v>2293</v>
      </c>
      <c r="B174" s="14" t="s">
        <v>2502</v>
      </c>
      <c r="C174" s="14" t="s">
        <v>2519</v>
      </c>
      <c r="D174" s="16">
        <v>46107</v>
      </c>
      <c r="E174" s="16"/>
      <c r="F174" s="14" t="s">
        <v>2518</v>
      </c>
      <c r="G174" s="14" t="s">
        <v>2517</v>
      </c>
      <c r="H174" s="14" t="s">
        <v>2516</v>
      </c>
      <c r="I174" s="15">
        <v>720</v>
      </c>
      <c r="J174" s="77">
        <v>1</v>
      </c>
      <c r="K174" s="92"/>
    </row>
    <row r="175" spans="1:11" ht="20" x14ac:dyDescent="0.25">
      <c r="A175" s="14" t="s">
        <v>2293</v>
      </c>
      <c r="B175" s="14" t="s">
        <v>2503</v>
      </c>
      <c r="C175" s="14" t="s">
        <v>2522</v>
      </c>
      <c r="D175" s="16">
        <v>46112</v>
      </c>
      <c r="E175" s="16"/>
      <c r="F175" s="14" t="s">
        <v>2520</v>
      </c>
      <c r="G175" s="14"/>
      <c r="H175" s="14" t="s">
        <v>2386</v>
      </c>
      <c r="I175" s="15">
        <v>35</v>
      </c>
      <c r="J175" s="77">
        <v>2</v>
      </c>
      <c r="K175" s="92"/>
    </row>
    <row r="176" spans="1:11" ht="20" x14ac:dyDescent="0.25">
      <c r="A176" s="14" t="s">
        <v>2293</v>
      </c>
      <c r="B176" s="14" t="s">
        <v>2504</v>
      </c>
      <c r="C176" s="14" t="s">
        <v>2523</v>
      </c>
      <c r="D176" s="16">
        <v>46112</v>
      </c>
      <c r="E176" s="16"/>
      <c r="F176" s="14" t="s">
        <v>2520</v>
      </c>
      <c r="G176" s="14"/>
      <c r="H176" s="14" t="s">
        <v>2378</v>
      </c>
      <c r="I176" s="15">
        <v>35</v>
      </c>
      <c r="J176" s="77">
        <v>2</v>
      </c>
      <c r="K176" s="92"/>
    </row>
    <row r="177" spans="1:11" ht="20" x14ac:dyDescent="0.25">
      <c r="A177" s="14" t="s">
        <v>2293</v>
      </c>
      <c r="B177" s="14" t="s">
        <v>2505</v>
      </c>
      <c r="C177" s="14" t="s">
        <v>2524</v>
      </c>
      <c r="D177" s="16">
        <v>46112</v>
      </c>
      <c r="E177" s="16"/>
      <c r="F177" s="14" t="s">
        <v>2520</v>
      </c>
      <c r="G177" s="14"/>
      <c r="H177" s="14" t="s">
        <v>2521</v>
      </c>
      <c r="I177" s="15">
        <v>35</v>
      </c>
      <c r="J177" s="77">
        <v>5</v>
      </c>
      <c r="K177" s="92"/>
    </row>
    <row r="178" spans="1:11" ht="20" x14ac:dyDescent="0.25">
      <c r="A178" s="14" t="s">
        <v>2293</v>
      </c>
      <c r="B178" s="14" t="s">
        <v>2506</v>
      </c>
      <c r="C178" s="14" t="s">
        <v>2525</v>
      </c>
      <c r="D178" s="16">
        <v>46112</v>
      </c>
      <c r="E178" s="16"/>
      <c r="F178" s="14" t="s">
        <v>2520</v>
      </c>
      <c r="G178" s="14"/>
      <c r="H178" s="14" t="s">
        <v>2384</v>
      </c>
      <c r="I178" s="15">
        <v>35</v>
      </c>
      <c r="J178" s="77">
        <v>5</v>
      </c>
      <c r="K178" s="92"/>
    </row>
    <row r="179" spans="1:11" ht="20" x14ac:dyDescent="0.25">
      <c r="A179" s="14" t="s">
        <v>2293</v>
      </c>
      <c r="B179" s="14" t="s">
        <v>2545</v>
      </c>
      <c r="C179" s="14" t="s">
        <v>2529</v>
      </c>
      <c r="D179" s="16">
        <v>46112</v>
      </c>
      <c r="E179" s="16"/>
      <c r="F179" s="14" t="s">
        <v>2528</v>
      </c>
      <c r="G179" s="14" t="s">
        <v>2527</v>
      </c>
      <c r="H179" s="14" t="s">
        <v>2526</v>
      </c>
      <c r="I179" s="15">
        <v>2440.73</v>
      </c>
      <c r="J179" s="77">
        <v>5</v>
      </c>
      <c r="K179" s="92"/>
    </row>
    <row r="180" spans="1:11" ht="30" x14ac:dyDescent="0.25">
      <c r="A180" s="14" t="s">
        <v>2293</v>
      </c>
      <c r="B180" s="14" t="s">
        <v>2507</v>
      </c>
      <c r="C180" s="14"/>
      <c r="D180" s="16">
        <v>46112</v>
      </c>
      <c r="E180" s="16"/>
      <c r="F180" s="14" t="s">
        <v>2535</v>
      </c>
      <c r="G180" s="14"/>
      <c r="H180" s="14" t="s">
        <v>2530</v>
      </c>
      <c r="I180" s="15">
        <v>650</v>
      </c>
      <c r="J180" s="77">
        <v>1</v>
      </c>
      <c r="K180" s="92"/>
    </row>
    <row r="181" spans="1:11" ht="30" x14ac:dyDescent="0.25">
      <c r="A181" s="14" t="s">
        <v>2293</v>
      </c>
      <c r="B181" s="14" t="s">
        <v>2508</v>
      </c>
      <c r="C181" s="14"/>
      <c r="D181" s="16">
        <v>46112</v>
      </c>
      <c r="E181" s="16"/>
      <c r="F181" s="14" t="s">
        <v>2535</v>
      </c>
      <c r="G181" s="14"/>
      <c r="H181" s="14" t="s">
        <v>2530</v>
      </c>
      <c r="I181" s="15">
        <v>1490</v>
      </c>
      <c r="J181" s="77">
        <v>1</v>
      </c>
      <c r="K181" s="92"/>
    </row>
    <row r="182" spans="1:11" ht="20" x14ac:dyDescent="0.25">
      <c r="A182" s="14" t="s">
        <v>2293</v>
      </c>
      <c r="B182" s="14" t="s">
        <v>2509</v>
      </c>
      <c r="C182" s="14" t="s">
        <v>2532</v>
      </c>
      <c r="D182" s="16">
        <v>46112</v>
      </c>
      <c r="E182" s="16"/>
      <c r="F182" s="14" t="s">
        <v>2534</v>
      </c>
      <c r="G182" s="14" t="s">
        <v>2533</v>
      </c>
      <c r="H182" s="14" t="s">
        <v>2531</v>
      </c>
      <c r="I182" s="15">
        <v>330</v>
      </c>
      <c r="J182" s="77">
        <v>1</v>
      </c>
      <c r="K182" s="92"/>
    </row>
    <row r="183" spans="1:11" ht="30" x14ac:dyDescent="0.25">
      <c r="A183" s="14" t="s">
        <v>2293</v>
      </c>
      <c r="B183" s="14" t="s">
        <v>2510</v>
      </c>
      <c r="C183" s="14"/>
      <c r="D183" s="16">
        <v>46112</v>
      </c>
      <c r="E183" s="16"/>
      <c r="F183" s="14" t="s">
        <v>2537</v>
      </c>
      <c r="G183" s="14"/>
      <c r="H183" s="14" t="s">
        <v>2536</v>
      </c>
      <c r="I183" s="15">
        <v>444.89</v>
      </c>
      <c r="J183" s="77">
        <v>2</v>
      </c>
      <c r="K183" s="92"/>
    </row>
    <row r="184" spans="1:11" ht="20" x14ac:dyDescent="0.25">
      <c r="A184" s="14" t="s">
        <v>2293</v>
      </c>
      <c r="B184" s="14" t="s">
        <v>2511</v>
      </c>
      <c r="C184" s="14"/>
      <c r="D184" s="16">
        <v>46112</v>
      </c>
      <c r="E184" s="16"/>
      <c r="F184" s="14" t="s">
        <v>2538</v>
      </c>
      <c r="G184" s="14"/>
      <c r="H184" s="14" t="s">
        <v>2386</v>
      </c>
      <c r="I184" s="15">
        <v>175.99</v>
      </c>
      <c r="J184" s="77">
        <v>2</v>
      </c>
      <c r="K184" s="92"/>
    </row>
    <row r="185" spans="1:11" ht="30" x14ac:dyDescent="0.25">
      <c r="A185" s="14" t="s">
        <v>2293</v>
      </c>
      <c r="B185" s="14" t="s">
        <v>2512</v>
      </c>
      <c r="C185" s="14" t="s">
        <v>2541</v>
      </c>
      <c r="D185" s="16">
        <v>46112</v>
      </c>
      <c r="E185" s="16"/>
      <c r="F185" s="14" t="s">
        <v>2540</v>
      </c>
      <c r="G185" s="14" t="s">
        <v>2474</v>
      </c>
      <c r="H185" s="14" t="s">
        <v>2472</v>
      </c>
      <c r="I185" s="15">
        <v>986.4</v>
      </c>
      <c r="J185" s="77">
        <v>1</v>
      </c>
      <c r="K185" s="92"/>
    </row>
    <row r="186" spans="1:11" ht="20" x14ac:dyDescent="0.25">
      <c r="A186" s="14" t="s">
        <v>2293</v>
      </c>
      <c r="B186" s="14" t="s">
        <v>2513</v>
      </c>
      <c r="C186" s="14" t="s">
        <v>2544</v>
      </c>
      <c r="D186" s="16">
        <v>46112</v>
      </c>
      <c r="E186" s="16"/>
      <c r="F186" s="14" t="s">
        <v>2539</v>
      </c>
      <c r="G186" s="14" t="s">
        <v>2543</v>
      </c>
      <c r="H186" s="14" t="s">
        <v>2542</v>
      </c>
      <c r="I186" s="15">
        <v>3250</v>
      </c>
      <c r="J186" s="77">
        <v>2</v>
      </c>
      <c r="K186" s="92"/>
    </row>
    <row r="187" spans="1:11" ht="30" x14ac:dyDescent="0.25">
      <c r="A187" s="14" t="s">
        <v>2293</v>
      </c>
      <c r="B187" s="14" t="s">
        <v>2554</v>
      </c>
      <c r="C187" s="14" t="s">
        <v>2555</v>
      </c>
      <c r="D187" s="16">
        <v>46199</v>
      </c>
      <c r="E187" s="16"/>
      <c r="F187" s="14" t="s">
        <v>2551</v>
      </c>
      <c r="G187" s="14" t="s">
        <v>2552</v>
      </c>
      <c r="H187" s="14" t="s">
        <v>2553</v>
      </c>
      <c r="I187" s="15">
        <v>83</v>
      </c>
      <c r="J187" s="77">
        <v>3</v>
      </c>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15:H117">
    <cfRule type="expression" dxfId="133" priority="289" stopIfTrue="1">
      <formula>$A115&lt;&gt;""</formula>
    </cfRule>
  </conditionalFormatting>
  <conditionalFormatting sqref="A1055:H1066">
    <cfRule type="expression" dxfId="132" priority="331" stopIfTrue="1">
      <formula>$A1055&lt;&gt;""</formula>
    </cfRule>
  </conditionalFormatting>
  <conditionalFormatting sqref="A1112:H1113">
    <cfRule type="expression" dxfId="131" priority="342" stopIfTrue="1">
      <formula>$A1112&lt;&gt;""</formula>
    </cfRule>
  </conditionalFormatting>
  <conditionalFormatting sqref="A107:J109 A110:F110 B117:J117 A118:J122 H123:J123 A123:F124 A125:J126 A127:E127 A131:E131 A132:B132 A133:J147 A148:E150 A151:J167 A168:F168 A169:J176 A177:F177 A178:J194 A195 A196:J5000">
    <cfRule type="expression" dxfId="130" priority="302" stopIfTrue="1">
      <formula>$A107&lt;&gt;""</formula>
    </cfRule>
  </conditionalFormatting>
  <conditionalFormatting sqref="A111:J114">
    <cfRule type="expression" dxfId="129" priority="226" stopIfTrue="1">
      <formula>$A111&lt;&gt;""</formula>
    </cfRule>
  </conditionalFormatting>
  <conditionalFormatting sqref="A128:J130">
    <cfRule type="expression" dxfId="128" priority="110" stopIfTrue="1">
      <formula>$A128&lt;&gt;""</formula>
    </cfRule>
  </conditionalFormatting>
  <conditionalFormatting sqref="B149:B183">
    <cfRule type="expression" dxfId="127" priority="365" stopIfTrue="1">
      <formula>$A149&lt;&gt;""</formula>
    </cfRule>
  </conditionalFormatting>
  <conditionalFormatting sqref="B120:E121">
    <cfRule type="expression" dxfId="126" priority="75" stopIfTrue="1">
      <formula>$A120&lt;&gt;""</formula>
    </cfRule>
  </conditionalFormatting>
  <conditionalFormatting sqref="B149:E194 C162:I166 B166:I189 I175:I194 I196:J228 B196:E241">
    <cfRule type="expression" dxfId="125" priority="542" stopIfTrue="1">
      <formula>$A149&lt;&gt;""</formula>
    </cfRule>
  </conditionalFormatting>
  <conditionalFormatting sqref="B472:E477">
    <cfRule type="expression" dxfId="124" priority="433" stopIfTrue="1">
      <formula>$A472&lt;&gt;""</formula>
    </cfRule>
  </conditionalFormatting>
  <conditionalFormatting sqref="B484:E488">
    <cfRule type="expression" dxfId="123" priority="468" stopIfTrue="1">
      <formula>$A484&lt;&gt;""</formula>
    </cfRule>
  </conditionalFormatting>
  <conditionalFormatting sqref="B689:E689">
    <cfRule type="expression" dxfId="122" priority="360" stopIfTrue="1">
      <formula>$A689&lt;&gt;""</formula>
    </cfRule>
  </conditionalFormatting>
  <conditionalFormatting sqref="B691:E691 H691:I691 B692:I693 B694:E699 H694:I699">
    <cfRule type="expression" dxfId="121" priority="320" stopIfTrue="1">
      <formula>$A691&lt;&gt;""</formula>
    </cfRule>
  </conditionalFormatting>
  <conditionalFormatting sqref="B701:E701 H701:I701">
    <cfRule type="expression" dxfId="120" priority="311" stopIfTrue="1">
      <formula>$A701&lt;&gt;""</formula>
    </cfRule>
  </conditionalFormatting>
  <conditionalFormatting sqref="B819:E819">
    <cfRule type="expression" dxfId="119" priority="383" stopIfTrue="1">
      <formula>$A819&lt;&gt;""</formula>
    </cfRule>
  </conditionalFormatting>
  <conditionalFormatting sqref="B1110:E1110">
    <cfRule type="expression" dxfId="118" priority="429" stopIfTrue="1">
      <formula>$A1110&lt;&gt;""</formula>
    </cfRule>
  </conditionalFormatting>
  <conditionalFormatting sqref="B1114:E1114">
    <cfRule type="expression" dxfId="117" priority="485" stopIfTrue="1">
      <formula>$A1114&lt;&gt;""</formula>
    </cfRule>
  </conditionalFormatting>
  <conditionalFormatting sqref="B1131:E1136">
    <cfRule type="expression" dxfId="116" priority="475" stopIfTrue="1">
      <formula>$A1131&lt;&gt;""</formula>
    </cfRule>
  </conditionalFormatting>
  <conditionalFormatting sqref="B1138:E1148">
    <cfRule type="expression" dxfId="115" priority="343" stopIfTrue="1">
      <formula>$A1138&lt;&gt;""</formula>
    </cfRule>
  </conditionalFormatting>
  <conditionalFormatting sqref="B1152:E1152">
    <cfRule type="expression" dxfId="114" priority="369" stopIfTrue="1">
      <formula>$A1152&lt;&gt;""</formula>
    </cfRule>
  </conditionalFormatting>
  <conditionalFormatting sqref="B1253:E1260 I1253:J1270">
    <cfRule type="expression" dxfId="113" priority="419" stopIfTrue="1">
      <formula>$A1253&lt;&gt;""</formula>
    </cfRule>
  </conditionalFormatting>
  <conditionalFormatting sqref="B1293:E1301">
    <cfRule type="expression" dxfId="112" priority="454" stopIfTrue="1">
      <formula>$A1293&lt;&gt;""</formula>
    </cfRule>
  </conditionalFormatting>
  <conditionalFormatting sqref="B1303:E1326">
    <cfRule type="expression" dxfId="111" priority="333" stopIfTrue="1">
      <formula>$A1303&lt;&gt;""</formula>
    </cfRule>
  </conditionalFormatting>
  <conditionalFormatting sqref="B1360:E1363">
    <cfRule type="expression" dxfId="110" priority="350" stopIfTrue="1">
      <formula>$A1360&lt;&gt;""</formula>
    </cfRule>
  </conditionalFormatting>
  <conditionalFormatting sqref="B1365:E1367">
    <cfRule type="expression" dxfId="109" priority="555" stopIfTrue="1">
      <formula>$A1365&lt;&gt;""</formula>
    </cfRule>
  </conditionalFormatting>
  <conditionalFormatting sqref="B1369:E1379">
    <cfRule type="expression" dxfId="108" priority="374" stopIfTrue="1">
      <formula>$A1369&lt;&gt;""</formula>
    </cfRule>
  </conditionalFormatting>
  <conditionalFormatting sqref="B1393:E1404">
    <cfRule type="expression" dxfId="107" priority="412" stopIfTrue="1">
      <formula>$A1393&lt;&gt;""</formula>
    </cfRule>
  </conditionalFormatting>
  <conditionalFormatting sqref="B1412:E1450">
    <cfRule type="expression" dxfId="106" priority="449" stopIfTrue="1">
      <formula>$A1412&lt;&gt;""</formula>
    </cfRule>
  </conditionalFormatting>
  <conditionalFormatting sqref="B1453:E1458">
    <cfRule type="expression" dxfId="105" priority="519" stopIfTrue="1">
      <formula>$A1453&lt;&gt;""</formula>
    </cfRule>
  </conditionalFormatting>
  <conditionalFormatting sqref="B489:G489">
    <cfRule type="expression" dxfId="104" priority="469" stopIfTrue="1">
      <formula>$A489&lt;&gt;""</formula>
    </cfRule>
  </conditionalFormatting>
  <conditionalFormatting sqref="B110:H112">
    <cfRule type="expression" dxfId="103" priority="227" stopIfTrue="1">
      <formula>$A110&lt;&gt;""</formula>
    </cfRule>
  </conditionalFormatting>
  <conditionalFormatting sqref="B478:H483">
    <cfRule type="expression" dxfId="102" priority="489" stopIfTrue="1">
      <formula>$A478&lt;&gt;""</formula>
    </cfRule>
  </conditionalFormatting>
  <conditionalFormatting sqref="B490:H496">
    <cfRule type="expression" dxfId="101" priority="445" stopIfTrue="1">
      <formula>$A490&lt;&gt;""</formula>
    </cfRule>
  </conditionalFormatting>
  <conditionalFormatting sqref="B1067:H1082">
    <cfRule type="expression" dxfId="100" priority="515" stopIfTrue="1">
      <formula>$A1067&lt;&gt;""</formula>
    </cfRule>
  </conditionalFormatting>
  <conditionalFormatting sqref="B1272:H1274 B1275:E1288 H1275:H1288">
    <cfRule type="expression" dxfId="99" priority="444" stopIfTrue="1">
      <formula>$A1272&lt;&gt;""</formula>
    </cfRule>
  </conditionalFormatting>
  <conditionalFormatting sqref="B1290:H1292">
    <cfRule type="expression" dxfId="98" priority="339" stopIfTrue="1">
      <formula>$A1290&lt;&gt;""</formula>
    </cfRule>
  </conditionalFormatting>
  <conditionalFormatting sqref="B1364:H1364">
    <cfRule type="expression" dxfId="97" priority="585" stopIfTrue="1">
      <formula>$A1364&lt;&gt;""</formula>
    </cfRule>
  </conditionalFormatting>
  <conditionalFormatting sqref="B1380:H1385">
    <cfRule type="expression" dxfId="96" priority="313" stopIfTrue="1">
      <formula>$A1380&lt;&gt;""</formula>
    </cfRule>
  </conditionalFormatting>
  <conditionalFormatting sqref="B1410:H1411">
    <cfRule type="expression" dxfId="95" priority="492" stopIfTrue="1">
      <formula>$A1410&lt;&gt;""</formula>
    </cfRule>
  </conditionalFormatting>
  <conditionalFormatting sqref="B159:I161">
    <cfRule type="expression" dxfId="94" priority="15" stopIfTrue="1">
      <formula>$A159&lt;&gt;""</formula>
    </cfRule>
  </conditionalFormatting>
  <conditionalFormatting sqref="B242:I242 B243:E275">
    <cfRule type="expression" dxfId="93" priority="556" stopIfTrue="1">
      <formula>$A242&lt;&gt;""</formula>
    </cfRule>
  </conditionalFormatting>
  <conditionalFormatting sqref="B276:I320">
    <cfRule type="expression" dxfId="92" priority="389" stopIfTrue="1">
      <formula>$A276&lt;&gt;""</formula>
    </cfRule>
  </conditionalFormatting>
  <conditionalFormatting sqref="B497:I499">
    <cfRule type="expression" dxfId="91" priority="391" stopIfTrue="1">
      <formula>$A497&lt;&gt;""</formula>
    </cfRule>
  </conditionalFormatting>
  <conditionalFormatting sqref="B645:I688">
    <cfRule type="expression" dxfId="90" priority="552" stopIfTrue="1">
      <formula>$A645&lt;&gt;""</formula>
    </cfRule>
  </conditionalFormatting>
  <conditionalFormatting sqref="B690:I690">
    <cfRule type="expression" dxfId="89" priority="318" stopIfTrue="1">
      <formula>$A690&lt;&gt;""</formula>
    </cfRule>
  </conditionalFormatting>
  <conditionalFormatting sqref="B1137:I1137">
    <cfRule type="expression" dxfId="88" priority="443" stopIfTrue="1">
      <formula>$A1137&lt;&gt;""</formula>
    </cfRule>
  </conditionalFormatting>
  <conditionalFormatting sqref="B1149:I1151">
    <cfRule type="expression" dxfId="87" priority="312" stopIfTrue="1">
      <formula>$A1149&lt;&gt;""</formula>
    </cfRule>
  </conditionalFormatting>
  <conditionalFormatting sqref="B1153:I1157">
    <cfRule type="expression" dxfId="86" priority="314" stopIfTrue="1">
      <formula>$A1153&lt;&gt;""</formula>
    </cfRule>
  </conditionalFormatting>
  <conditionalFormatting sqref="B1271:I1271 I1272:I1288">
    <cfRule type="expression" dxfId="85" priority="447" stopIfTrue="1">
      <formula>$A1271&lt;&gt;""</formula>
    </cfRule>
  </conditionalFormatting>
  <conditionalFormatting sqref="B1368:I1368">
    <cfRule type="expression" dxfId="84" priority="442" stopIfTrue="1">
      <formula>$A1368&lt;&gt;""</formula>
    </cfRule>
  </conditionalFormatting>
  <conditionalFormatting sqref="B121:J195">
    <cfRule type="expression" dxfId="83" priority="1" stopIfTrue="1">
      <formula>$A121&lt;&gt;""</formula>
    </cfRule>
  </conditionalFormatting>
  <conditionalFormatting sqref="B360:J420">
    <cfRule type="expression" dxfId="82" priority="557" stopIfTrue="1">
      <formula>$A360&lt;&gt;""</formula>
    </cfRule>
  </conditionalFormatting>
  <conditionalFormatting sqref="B457:J458">
    <cfRule type="expression" dxfId="81" priority="518" stopIfTrue="1">
      <formula>$A457&lt;&gt;""</formula>
    </cfRule>
  </conditionalFormatting>
  <conditionalFormatting sqref="B599:J625">
    <cfRule type="expression" dxfId="80" priority="298" stopIfTrue="1">
      <formula>$A599&lt;&gt;""</formula>
    </cfRule>
  </conditionalFormatting>
  <conditionalFormatting sqref="B1053:J1054">
    <cfRule type="expression" dxfId="79" priority="513" stopIfTrue="1">
      <formula>$A1053&lt;&gt;""</formula>
    </cfRule>
  </conditionalFormatting>
  <conditionalFormatting sqref="B1127:J1130">
    <cfRule type="expression" dxfId="78" priority="303" stopIfTrue="1">
      <formula>$A1127&lt;&gt;""</formula>
    </cfRule>
  </conditionalFormatting>
  <conditionalFormatting sqref="B1158:J1252">
    <cfRule type="expression" dxfId="77" priority="329" stopIfTrue="1">
      <formula>$A1158&lt;&gt;""</formula>
    </cfRule>
  </conditionalFormatting>
  <conditionalFormatting sqref="B1406:J1406">
    <cfRule type="expression" dxfId="76" priority="494" stopIfTrue="1">
      <formula>$A1406&lt;&gt;""</formula>
    </cfRule>
  </conditionalFormatting>
  <conditionalFormatting sqref="B1461:J4374">
    <cfRule type="expression" dxfId="75" priority="338" stopIfTrue="1">
      <formula>$A1461&lt;&gt;""</formula>
    </cfRule>
  </conditionalFormatting>
  <conditionalFormatting sqref="C124:E125">
    <cfRule type="expression" dxfId="74" priority="66" stopIfTrue="1">
      <formula>$A124&lt;&gt;""</formula>
    </cfRule>
  </conditionalFormatting>
  <conditionalFormatting sqref="C131:E132">
    <cfRule type="expression" dxfId="73" priority="106" stopIfTrue="1">
      <formula>$A131&lt;&gt;""</formula>
    </cfRule>
  </conditionalFormatting>
  <conditionalFormatting sqref="C118:J119">
    <cfRule type="expression" dxfId="72" priority="120" stopIfTrue="1">
      <formula>$A118&lt;&gt;""</formula>
    </cfRule>
  </conditionalFormatting>
  <conditionalFormatting sqref="C128:J129">
    <cfRule type="expression" dxfId="71" priority="112" stopIfTrue="1">
      <formula>$A128&lt;&gt;""</formula>
    </cfRule>
  </conditionalFormatting>
  <conditionalFormatting sqref="D166:D169">
    <cfRule type="expression" dxfId="70" priority="27" stopIfTrue="1">
      <formula>$A166&lt;&gt;""</formula>
    </cfRule>
  </conditionalFormatting>
  <conditionalFormatting sqref="D174:D176">
    <cfRule type="expression" dxfId="69" priority="87" stopIfTrue="1">
      <formula>$A174&lt;&gt;""</formula>
    </cfRule>
  </conditionalFormatting>
  <conditionalFormatting sqref="F116:F118 H116:H118">
    <cfRule type="expression" dxfId="68" priority="78" stopIfTrue="1">
      <formula>$A116&lt;&gt;""</formula>
    </cfRule>
  </conditionalFormatting>
  <conditionalFormatting sqref="F130:F134">
    <cfRule type="expression" dxfId="67" priority="102" stopIfTrue="1">
      <formula>$A130&lt;&gt;""</formula>
    </cfRule>
  </conditionalFormatting>
  <conditionalFormatting sqref="F175:F194">
    <cfRule type="expression" dxfId="66" priority="2" stopIfTrue="1">
      <formula>$A175&lt;&gt;""</formula>
    </cfRule>
  </conditionalFormatting>
  <conditionalFormatting sqref="F196:F198">
    <cfRule type="expression" dxfId="65" priority="238" stopIfTrue="1">
      <formula>$A196&lt;&gt;""</formula>
    </cfRule>
  </conditionalFormatting>
  <conditionalFormatting sqref="F109:H109">
    <cfRule type="expression" dxfId="64" priority="230" stopIfTrue="1">
      <formula>$A109&lt;&gt;""</formula>
    </cfRule>
  </conditionalFormatting>
  <conditionalFormatting sqref="F157:H161">
    <cfRule type="expression" dxfId="63" priority="137" stopIfTrue="1">
      <formula>$A157&lt;&gt;""</formula>
    </cfRule>
  </conditionalFormatting>
  <conditionalFormatting sqref="F164:H169">
    <cfRule type="expression" dxfId="62" priority="156" stopIfTrue="1">
      <formula>$A164&lt;&gt;""</formula>
    </cfRule>
  </conditionalFormatting>
  <conditionalFormatting sqref="F172:H180">
    <cfRule type="expression" dxfId="61" priority="143" stopIfTrue="1">
      <formula>$A172&lt;&gt;""</formula>
    </cfRule>
  </conditionalFormatting>
  <conditionalFormatting sqref="F182:H187">
    <cfRule type="expression" dxfId="60" priority="141" stopIfTrue="1">
      <formula>$A182&lt;&gt;""</formula>
    </cfRule>
  </conditionalFormatting>
  <conditionalFormatting sqref="F190:H194">
    <cfRule type="expression" dxfId="59" priority="186" stopIfTrue="1">
      <formula>$A190&lt;&gt;""</formula>
    </cfRule>
  </conditionalFormatting>
  <conditionalFormatting sqref="F198:H199">
    <cfRule type="expression" dxfId="58" priority="414" stopIfTrue="1">
      <formula>$A198&lt;&gt;""</formula>
    </cfRule>
  </conditionalFormatting>
  <conditionalFormatting sqref="F472:H473">
    <cfRule type="expression" dxfId="57" priority="435" stopIfTrue="1">
      <formula>$A472&lt;&gt;""</formula>
    </cfRule>
  </conditionalFormatting>
  <conditionalFormatting sqref="F476:H477">
    <cfRule type="expression" dxfId="56" priority="525" stopIfTrue="1">
      <formula>$A476&lt;&gt;""</formula>
    </cfRule>
  </conditionalFormatting>
  <conditionalFormatting sqref="F484:H486 H487:H489">
    <cfRule type="expression" dxfId="55" priority="467" stopIfTrue="1">
      <formula>$A484&lt;&gt;""</formula>
    </cfRule>
  </conditionalFormatting>
  <conditionalFormatting sqref="F1131:H1131">
    <cfRule type="expression" dxfId="54" priority="576" stopIfTrue="1">
      <formula>$A1131&lt;&gt;""</formula>
    </cfRule>
  </conditionalFormatting>
  <conditionalFormatting sqref="F1255:H1260">
    <cfRule type="expression" dxfId="53" priority="418" stopIfTrue="1">
      <formula>$A1255&lt;&gt;""</formula>
    </cfRule>
  </conditionalFormatting>
  <conditionalFormatting sqref="F154:I157">
    <cfRule type="expression" dxfId="52" priority="146" stopIfTrue="1">
      <formula>$A154&lt;&gt;""</formula>
    </cfRule>
  </conditionalFormatting>
  <conditionalFormatting sqref="F161:I165">
    <cfRule type="expression" dxfId="51" priority="165" stopIfTrue="1">
      <formula>$A161&lt;&gt;""</formula>
    </cfRule>
  </conditionalFormatting>
  <conditionalFormatting sqref="F169:I172">
    <cfRule type="expression" dxfId="50" priority="546" stopIfTrue="1">
      <formula>$A169&lt;&gt;""</formula>
    </cfRule>
  </conditionalFormatting>
  <conditionalFormatting sqref="F247:I247">
    <cfRule type="expression" dxfId="49" priority="446" stopIfTrue="1">
      <formula>$A247&lt;&gt;""</formula>
    </cfRule>
  </conditionalFormatting>
  <conditionalFormatting sqref="F115:J115">
    <cfRule type="expression" dxfId="48" priority="225" stopIfTrue="1">
      <formula>$A115&lt;&gt;""</formula>
    </cfRule>
  </conditionalFormatting>
  <conditionalFormatting sqref="F119:J127">
    <cfRule type="expression" dxfId="47" priority="62" stopIfTrue="1">
      <formula>$A119&lt;&gt;""</formula>
    </cfRule>
  </conditionalFormatting>
  <conditionalFormatting sqref="F140:J143">
    <cfRule type="expression" dxfId="46" priority="54" stopIfTrue="1">
      <formula>$A140&lt;&gt;""</formula>
    </cfRule>
  </conditionalFormatting>
  <conditionalFormatting sqref="F147:J169">
    <cfRule type="expression" dxfId="45" priority="31" stopIfTrue="1">
      <formula>$A147&lt;&gt;""</formula>
    </cfRule>
  </conditionalFormatting>
  <conditionalFormatting sqref="G116:G119">
    <cfRule type="expression" dxfId="44" priority="76" stopIfTrue="1">
      <formula>$A116&lt;&gt;""</formula>
    </cfRule>
  </conditionalFormatting>
  <conditionalFormatting sqref="G152:G153">
    <cfRule type="expression" dxfId="43" priority="18" stopIfTrue="1">
      <formula>$A152&lt;&gt;""</formula>
    </cfRule>
  </conditionalFormatting>
  <conditionalFormatting sqref="G159:G163">
    <cfRule type="expression" dxfId="42" priority="13" stopIfTrue="1">
      <formula>$A159&lt;&gt;""</formula>
    </cfRule>
  </conditionalFormatting>
  <conditionalFormatting sqref="G167:G171">
    <cfRule type="expression" dxfId="41" priority="25" stopIfTrue="1">
      <formula>$A167&lt;&gt;""</formula>
    </cfRule>
  </conditionalFormatting>
  <conditionalFormatting sqref="G155:H156">
    <cfRule type="expression" dxfId="40" priority="17" stopIfTrue="1">
      <formula>$A155&lt;&gt;""</formula>
    </cfRule>
  </conditionalFormatting>
  <conditionalFormatting sqref="G162:H164">
    <cfRule type="expression" dxfId="39" priority="29" stopIfTrue="1">
      <formula>$A162&lt;&gt;""</formula>
    </cfRule>
  </conditionalFormatting>
  <conditionalFormatting sqref="G169:H171">
    <cfRule type="expression" dxfId="38" priority="12" stopIfTrue="1">
      <formula>$A169&lt;&gt;""</formula>
    </cfRule>
  </conditionalFormatting>
  <conditionalFormatting sqref="G176:H178">
    <cfRule type="expression" dxfId="37" priority="24" stopIfTrue="1">
      <formula>$A176&lt;&gt;""</formula>
    </cfRule>
  </conditionalFormatting>
  <conditionalFormatting sqref="G184:H185">
    <cfRule type="expression" dxfId="36" priority="84" stopIfTrue="1">
      <formula>$A184&lt;&gt;""</formula>
    </cfRule>
  </conditionalFormatting>
  <conditionalFormatting sqref="G107:J107">
    <cfRule type="expression" dxfId="35" priority="233" stopIfTrue="1">
      <formula>$A107&lt;&gt;""</formula>
    </cfRule>
  </conditionalFormatting>
  <conditionalFormatting sqref="G130:J132">
    <cfRule type="expression" dxfId="34" priority="105" stopIfTrue="1">
      <formula>$A130&lt;&gt;""</formula>
    </cfRule>
  </conditionalFormatting>
  <conditionalFormatting sqref="H174:H175">
    <cfRule type="expression" dxfId="33" priority="19" stopIfTrue="1">
      <formula>$A174&lt;&gt;""</formula>
    </cfRule>
  </conditionalFormatting>
  <conditionalFormatting sqref="H180:H190">
    <cfRule type="expression" dxfId="32" priority="4" stopIfTrue="1">
      <formula>$A180&lt;&gt;""</formula>
    </cfRule>
  </conditionalFormatting>
  <conditionalFormatting sqref="H192:H194">
    <cfRule type="expression" dxfId="31" priority="185" stopIfTrue="1">
      <formula>$A192&lt;&gt;""</formula>
    </cfRule>
  </conditionalFormatting>
  <conditionalFormatting sqref="H196:H198">
    <cfRule type="expression" dxfId="30" priority="240" stopIfTrue="1">
      <formula>$A196&lt;&gt;""</formula>
    </cfRule>
  </conditionalFormatting>
  <conditionalFormatting sqref="H200:H228">
    <cfRule type="expression" dxfId="29" priority="305" stopIfTrue="1">
      <formula>$A200&lt;&gt;""</formula>
    </cfRule>
  </conditionalFormatting>
  <conditionalFormatting sqref="H474:H475">
    <cfRule type="expression" dxfId="28" priority="439" stopIfTrue="1">
      <formula>$A474&lt;&gt;""</formula>
    </cfRule>
  </conditionalFormatting>
  <conditionalFormatting sqref="H1132:H1136">
    <cfRule type="expression" dxfId="27" priority="477" stopIfTrue="1">
      <formula>$A1132&lt;&gt;""</formula>
    </cfRule>
  </conditionalFormatting>
  <conditionalFormatting sqref="H1254">
    <cfRule type="expression" dxfId="26" priority="488" stopIfTrue="1">
      <formula>$A1254&lt;&gt;""</formula>
    </cfRule>
  </conditionalFormatting>
  <conditionalFormatting sqref="H1293:H1301">
    <cfRule type="expression" dxfId="25" priority="456" stopIfTrue="1">
      <formula>$A1293&lt;&gt;""</formula>
    </cfRule>
  </conditionalFormatting>
  <conditionalFormatting sqref="H1303:H1326">
    <cfRule type="expression" dxfId="24" priority="335" stopIfTrue="1">
      <formula>$A1303&lt;&gt;""</formula>
    </cfRule>
  </conditionalFormatting>
  <conditionalFormatting sqref="H1365:H1367">
    <cfRule type="expression" dxfId="23" priority="554" stopIfTrue="1">
      <formula>$A1365&lt;&gt;""</formula>
    </cfRule>
  </conditionalFormatting>
  <conditionalFormatting sqref="H1369:H1379">
    <cfRule type="expression" dxfId="22" priority="315" stopIfTrue="1">
      <formula>$A1369&lt;&gt;""</formula>
    </cfRule>
  </conditionalFormatting>
  <conditionalFormatting sqref="H1412">
    <cfRule type="expression" dxfId="21" priority="451" stopIfTrue="1">
      <formula>$A1412&lt;&gt;""</formula>
    </cfRule>
  </conditionalFormatting>
  <conditionalFormatting sqref="H1453:H1458">
    <cfRule type="expression" dxfId="20" priority="521" stopIfTrue="1">
      <formula>$A1453&lt;&gt;""</formula>
    </cfRule>
  </conditionalFormatting>
  <conditionalFormatting sqref="H157:I159">
    <cfRule type="expression" dxfId="19" priority="145" stopIfTrue="1">
      <formula>$A157&lt;&gt;""</formula>
    </cfRule>
  </conditionalFormatting>
  <conditionalFormatting sqref="H164:I167">
    <cfRule type="expression" dxfId="18" priority="164" stopIfTrue="1">
      <formula>$A164&lt;&gt;""</formula>
    </cfRule>
  </conditionalFormatting>
  <conditionalFormatting sqref="H172:I174">
    <cfRule type="expression" dxfId="17" priority="543" stopIfTrue="1">
      <formula>$A172&lt;&gt;""</formula>
    </cfRule>
  </conditionalFormatting>
  <conditionalFormatting sqref="H243:I246">
    <cfRule type="expression" dxfId="16" priority="545" stopIfTrue="1">
      <formula>$A243&lt;&gt;""</formula>
    </cfRule>
  </conditionalFormatting>
  <conditionalFormatting sqref="H248:I248">
    <cfRule type="expression" dxfId="15" priority="421" stopIfTrue="1">
      <formula>$A248&lt;&gt;""</formula>
    </cfRule>
  </conditionalFormatting>
  <conditionalFormatting sqref="H689:I689">
    <cfRule type="expression" dxfId="14" priority="362" stopIfTrue="1">
      <formula>$A689&lt;&gt;""</formula>
    </cfRule>
  </conditionalFormatting>
  <conditionalFormatting sqref="H1138:I1148">
    <cfRule type="expression" dxfId="13" priority="346" stopIfTrue="1">
      <formula>$A1138&lt;&gt;""</formula>
    </cfRule>
  </conditionalFormatting>
  <conditionalFormatting sqref="H1152:I1152">
    <cfRule type="expression" dxfId="12" priority="372" stopIfTrue="1">
      <formula>$A1152&lt;&gt;""</formula>
    </cfRule>
  </conditionalFormatting>
  <conditionalFormatting sqref="H1110:J1110">
    <cfRule type="expression" dxfId="11" priority="428" stopIfTrue="1">
      <formula>$A1110&lt;&gt;""</formula>
    </cfRule>
  </conditionalFormatting>
  <conditionalFormatting sqref="H1360:J1363">
    <cfRule type="expression" dxfId="10" priority="351" stopIfTrue="1">
      <formula>$A1360&lt;&gt;""</formula>
    </cfRule>
  </conditionalFormatting>
  <conditionalFormatting sqref="H1393:J1404">
    <cfRule type="expression" dxfId="9" priority="310" stopIfTrue="1">
      <formula>$A1393&lt;&gt;""</formula>
    </cfRule>
  </conditionalFormatting>
  <conditionalFormatting sqref="I472:I496">
    <cfRule type="expression" dxfId="8" priority="436" stopIfTrue="1">
      <formula>$A472&lt;&gt;""</formula>
    </cfRule>
  </conditionalFormatting>
  <conditionalFormatting sqref="I1369:I1385">
    <cfRule type="expression" dxfId="7" priority="378" stopIfTrue="1">
      <formula>$A1369&lt;&gt;""</formula>
    </cfRule>
  </conditionalFormatting>
  <conditionalFormatting sqref="I109:J112">
    <cfRule type="expression" dxfId="6" priority="232" stopIfTrue="1">
      <formula>$A109&lt;&gt;""</formula>
    </cfRule>
  </conditionalFormatting>
  <conditionalFormatting sqref="I114:J118">
    <cfRule type="expression" dxfId="5" priority="79" stopIfTrue="1">
      <formula>$A114&lt;&gt;""</formula>
    </cfRule>
  </conditionalFormatting>
  <conditionalFormatting sqref="I1290:J1359">
    <cfRule type="expression" dxfId="4" priority="458" stopIfTrue="1">
      <formula>$A1290&lt;&gt;""</formula>
    </cfRule>
  </conditionalFormatting>
  <conditionalFormatting sqref="I1410:J1447">
    <cfRule type="expression" dxfId="3" priority="453" stopIfTrue="1">
      <formula>$A1410&lt;&gt;""</formula>
    </cfRule>
  </conditionalFormatting>
  <conditionalFormatting sqref="I1451:J1458">
    <cfRule type="expression" dxfId="2" priority="551" stopIfTrue="1">
      <formula>$A1451&lt;&gt;""</formula>
    </cfRule>
  </conditionalFormatting>
  <conditionalFormatting sqref="J154:J194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 priority="586" stopIfTrue="1">
      <formula>$A154&lt;&gt;""</formula>
    </cfRule>
  </conditionalFormatting>
  <conditionalFormatting sqref="J1137:J1157">
    <cfRule type="expression" dxfId="0" priority="578"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23 G125: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47" activePane="bottomLeft" state="frozen"/>
      <selection activeCell="I2" sqref="I2:L73"/>
      <selection pane="bottomLeft" activeCell="B6" sqref="B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8" t="str">
        <f>Spolu!C3&amp;", "&amp;Spolu!C6</f>
        <v>Združenie šípkarských organizácií, Szakkayho 40/1, Košice, 040 01</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1260</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1"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5" customHeight="1" thickBot="1" x14ac:dyDescent="0.3">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35538015</v>
      </c>
      <c r="E18" s="147" t="s">
        <v>1284</v>
      </c>
      <c r="F18" s="284">
        <v>421947749446</v>
      </c>
      <c r="N18" s="137" t="str">
        <f t="shared" si="0"/>
        <v xml:space="preserve">r - </v>
      </c>
      <c r="O18" s="137" t="s">
        <v>368</v>
      </c>
    </row>
    <row r="19" spans="1:16" x14ac:dyDescent="0.25">
      <c r="E19" s="147" t="s">
        <v>1285</v>
      </c>
      <c r="F19" s="284">
        <v>421947749756</v>
      </c>
    </row>
    <row r="20" spans="1:16" ht="16" thickBot="1" x14ac:dyDescent="0.3">
      <c r="A20" s="139" t="s">
        <v>392</v>
      </c>
      <c r="B20" s="143">
        <f>F6</f>
        <v>0</v>
      </c>
      <c r="E20" s="208"/>
      <c r="F20" s="285"/>
    </row>
    <row r="21" spans="1:16" ht="189" customHeight="1" x14ac:dyDescent="0.25">
      <c r="B21" s="211"/>
      <c r="C21" s="144"/>
    </row>
    <row r="22" spans="1:16" ht="39.75" customHeight="1" x14ac:dyDescent="0.25">
      <c r="B22" s="367" t="s">
        <v>1286</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8" t="str">
        <f>Spolu!C3&amp;", "&amp;Spolu!C6</f>
        <v>Združenie šípkarských organizácií, Szakkayho 40/1, Košice, 040 01</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4" customHeight="1" x14ac:dyDescent="0.25">
      <c r="A14" s="139" t="s">
        <v>1275</v>
      </c>
      <c r="B14" s="373" t="s">
        <v>1293</v>
      </c>
      <c r="C14" s="374"/>
      <c r="F14" s="313"/>
      <c r="N14" s="137" t="str">
        <f t="shared" si="0"/>
        <v xml:space="preserve">n - </v>
      </c>
      <c r="O14" s="137" t="s">
        <v>364</v>
      </c>
    </row>
    <row r="15" spans="1:16" ht="34.4" customHeight="1" x14ac:dyDescent="0.25">
      <c r="A15" s="139" t="s">
        <v>1294</v>
      </c>
      <c r="B15" s="373"/>
      <c r="C15" s="374"/>
      <c r="F15" s="376"/>
      <c r="N15" s="137" t="str">
        <f t="shared" si="0"/>
        <v xml:space="preserve">o - </v>
      </c>
      <c r="O15" s="137" t="s">
        <v>365</v>
      </c>
    </row>
    <row r="16" spans="1:16" x14ac:dyDescent="0.25">
      <c r="A16" s="139" t="s">
        <v>1278</v>
      </c>
      <c r="B16" s="142">
        <f>F8</f>
        <v>0</v>
      </c>
      <c r="C16" s="137"/>
      <c r="F16" s="376"/>
      <c r="N16" s="137" t="str">
        <f t="shared" si="0"/>
        <v xml:space="preserve">p - </v>
      </c>
      <c r="O16" s="137" t="s">
        <v>366</v>
      </c>
    </row>
    <row r="17" spans="1:16" ht="32.15" customHeight="1" x14ac:dyDescent="0.25">
      <c r="A17" s="139" t="s">
        <v>1281</v>
      </c>
      <c r="B17" s="142">
        <f>F9</f>
        <v>0</v>
      </c>
      <c r="C17" s="137"/>
      <c r="F17" s="376"/>
      <c r="N17" s="137" t="str">
        <f t="shared" si="0"/>
        <v xml:space="preserve">q - </v>
      </c>
      <c r="O17" s="137" t="s">
        <v>367</v>
      </c>
    </row>
    <row r="18" spans="1:16" ht="16" thickBot="1" x14ac:dyDescent="0.3">
      <c r="B18" s="193" t="s">
        <v>1295</v>
      </c>
      <c r="C18" s="194">
        <v>31</v>
      </c>
      <c r="N18" s="137" t="str">
        <f t="shared" si="0"/>
        <v xml:space="preserve">r - </v>
      </c>
      <c r="O18" s="137" t="s">
        <v>368</v>
      </c>
    </row>
    <row r="19" spans="1:16" x14ac:dyDescent="0.25">
      <c r="B19" s="193" t="s">
        <v>1283</v>
      </c>
      <c r="C19" s="142" t="str">
        <f>Spolu!C4</f>
        <v>35538015</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1286</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F72" sqref="F72"/>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1298</v>
      </c>
    </row>
    <row r="2" spans="1:2" ht="30" customHeight="1" x14ac:dyDescent="0.25">
      <c r="A2" s="377" t="s">
        <v>1299</v>
      </c>
      <c r="B2" s="377"/>
    </row>
    <row r="3" spans="1:2" ht="13"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2026-04-16T06:42:11Z</cp:lastPrinted>
  <dcterms:created xsi:type="dcterms:W3CDTF">2017-02-20T06:20:12Z</dcterms:created>
  <dcterms:modified xsi:type="dcterms:W3CDTF">2026-04-16T06:42:38Z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