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docs.live.net/6bba784918ad3f2c/005-SRU/002-Areas/2025-financie/2025-vyúčtovanie/"/>
    </mc:Choice>
  </mc:AlternateContent>
  <xr:revisionPtr revIDLastSave="1" documentId="8_{2E99801A-B45D-428B-B267-6F96E2CE8F10}" xr6:coauthVersionLast="47" xr6:coauthVersionMax="47" xr10:uidLastSave="{CB7809E9-2635-40B0-981C-956B41864FBE}"/>
  <bookViews>
    <workbookView xWindow="-1890" yWindow="-19545" windowWidth="28800" windowHeight="17475"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<sst xmlns="http://schemas.openxmlformats.org/spreadsheetml/2006/main" count="6719" uniqueCount="3097">
  <si>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</si>
  <si>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</si>
  <si>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</si>
  <si>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</si>
  <si>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</si>
  <si>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</si>
  <si>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</si>
  <si>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</si>
  <si>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</si>
  <si>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</si>
  <si>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</si>
  <si>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</si>
  <si>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</si>
  <si>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</si>
  <si>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</si>
  <si>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</si>
  <si>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</si>
  <si>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</si>
  <si>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</si>
  <si>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</si>
  <si>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</si>
  <si>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</si>
  <si>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</si>
  <si>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</si>
  <si>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</si>
  <si>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</si>
  <si>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</si>
  <si>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</si>
  <si>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</si>
  <si>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</si>
  <si>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</si>
  <si>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</si>
  <si>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</si>
  <si>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</si>
  <si>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</si>
  <si>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</si>
  <si>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</si>
  <si>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</si>
  <si>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</si>
  <si>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</si>
  <si>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</si>
  <si>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</si>
  <si>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</si>
  <si>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</si>
  <si>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</si>
  <si>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</si>
  <si>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</si>
  <si>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</si>
  <si>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</si>
  <si>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</si>
  <si>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</si>
  <si>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</si>
  <si>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</si>
  <si>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</si>
  <si>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</si>
  <si>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</si>
  <si>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</si>
  <si>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</si>
  <si>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</si>
  <si>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</si>
  <si>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</si>
  <si>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</si>
  <si>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</si>
  <si>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</si>
  <si>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</si>
  <si>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</si>
  <si>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</si>
  <si>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</si>
  <si>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</si>
  <si>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</si>
  <si>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</si>
  <si>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</si>
  <si>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</si>
  <si>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</si>
  <si>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</si>
  <si>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</si>
  <si>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</si>
  <si>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</si>
  <si>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</si>
  <si>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</si>
  <si>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</si>
  <si>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</si>
  <si>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</si>
  <si>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</si>
  <si>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</si>
  <si>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</si>
  <si>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</si>
  <si>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</si>
  <si>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</si>
  <si>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</si>
  <si>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</si>
  <si>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</si>
  <si>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</si>
  <si>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</si>
  <si>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</si>
  <si>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</si>
  <si>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</si>
  <si>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</si>
  <si>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</si>
  <si>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</si>
  <si>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</si>
  <si>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</si>
  <si>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</si>
  <si>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</si>
  <si>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</si>
  <si>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</si>
  <si>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</si>
  <si>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</si>
  <si>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</si>
  <si>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</si>
  <si>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</si>
  <si>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</si>
  <si>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</si>
  <si>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</si>
  <si>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</si>
  <si>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</si>
  <si>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</si>
  <si>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</si>
  <si>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</si>
  <si>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</si>
  <si>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</si>
  <si>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</si>
  <si>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</si>
  <si>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</si>
  <si>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</si>
  <si>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</si>
  <si>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</si>
  <si>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</si>
  <si>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</si>
  <si>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</si>
  <si>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</si>
  <si>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</si>
  <si>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</si>
  <si>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</si>
  <si>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</si>
  <si>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</si>
  <si>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</si>
  <si>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</si>
  <si>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</si>
  <si>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</si>
  <si>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</si>
  <si>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</si>
  <si>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</si>
  <si>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</si>
  <si>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</si>
  <si>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</si>
  <si>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</si>
  <si>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</si>
  <si>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</si>
  <si>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</si>
  <si>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</si>
  <si>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</si>
  <si>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</si>
  <si>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</si>
  <si>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</si>
  <si>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</si>
  <si>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</si>
  <si>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</si>
  <si>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</si>
  <si>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</si>
  <si>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</si>
  <si>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</si>
  <si>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</si>
  <si>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</si>
  <si>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</si>
  <si>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</si>
  <si>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</si>
  <si>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</si>
  <si>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</si>
  <si>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</si>
  <si>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</si>
  <si>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</si>
  <si>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</si>
  <si>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</si>
  <si>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</si>
  <si>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</si>
  <si>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</si>
  <si>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</si>
  <si>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</si>
  <si>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</si>
  <si>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</si>
  <si>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</si>
  <si>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</si>
  <si>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</si>
  <si>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</si>
  <si>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</si>
  <si>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</si>
  <si>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</si>
  <si>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</si>
  <si>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</si>
  <si>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</si>
  <si>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</si>
  <si>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</si>
  <si>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</si>
  <si>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</si>
  <si>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</si>
  <si>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</si>
  <si>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</si>
  <si>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</si>
  <si>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</si>
  <si>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</si>
  <si>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</si>
  <si>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</si>
  <si>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</si>
  <si>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</si>
  <si>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</si>
  <si>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</si>
  <si>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</si>
  <si>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</si>
  <si>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</si>
  <si>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</si>
  <si>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</si>
  <si>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</si>
  <si>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</si>
  <si>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</si>
  <si>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</si>
  <si>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</si>
  <si>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</si>
  <si>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</si>
  <si>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</si>
  <si>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</si>
  <si>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</si>
  <si>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</si>
  <si>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</si>
  <si>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</si>
  <si>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</si>
  <si>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</si>
  <si>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</si>
  <si>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</si>
  <si>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</si>
  <si>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</si>
  <si>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</si>
  <si>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</si>
  <si>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</si>
  <si>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</si>
  <si>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</si>
  <si>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</si>
  <si>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</si>
  <si>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</si>
  <si>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</si>
  <si>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</si>
  <si>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</si>
  <si>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</si>
  <si>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</si>
  <si>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</si>
  <si>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</si>
  <si>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</si>
  <si>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</si>
  <si>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</si>
  <si>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</si>
  <si>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</si>
  <si>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</si>
  <si>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</si>
  <si>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</si>
  <si>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</si>
  <si>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</si>
  <si>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</si>
  <si>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</si>
  <si>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</si>
  <si>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</si>
  <si>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</si>
  <si>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</si>
  <si>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</si>
  <si>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</si>
  <si>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</si>
  <si>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</si>
  <si>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</si>
  <si>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</si>
  <si>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</si>
  <si>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</si>
  <si>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</si>
  <si>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</si>
  <si>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</si>
  <si>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</si>
  <si>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</si>
  <si>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</si>
  <si>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</si>
  <si>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</si>
  <si>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</si>
  <si>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</si>
  <si>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</si>
  <si>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</si>
  <si>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</si>
  <si>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</si>
  <si>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</si>
  <si>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</si>
  <si>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</si>
  <si>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</si>
  <si>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</si>
  <si>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</si>
  <si>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</si>
  <si>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</si>
  <si>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</si>
  <si>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</si>
  <si>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</si>
  <si>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</si>
  <si>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</si>
  <si>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</si>
  <si>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</si>
  <si>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</si>
  <si>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</si>
  <si>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</si>
  <si>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</si>
  <si>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</si>
  <si>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</si>
  <si>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</si>
  <si>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</si>
  <si>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</si>
  <si>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</si>
  <si>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</si>
  <si>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</si>
  <si>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</si>
  <si>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</si>
  <si>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</si>
  <si>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</si>
  <si>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</si>
  <si>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</si>
  <si>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</si>
  <si>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</si>
  <si>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</si>
  <si>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</si>
  <si>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</si>
  <si>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</si>
  <si>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</si>
  <si>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</si>
  <si>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</si>
  <si>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</si>
  <si>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</si>
  <si>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</si>
  <si>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</si>
  <si>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</si>
  <si>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</si>
  <si>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</si>
  <si>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</si>
  <si>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</si>
  <si>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</si>
  <si>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</si>
  <si>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</si>
  <si>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</si>
  <si>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</si>
  <si>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</si>
  <si>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</si>
  <si>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</si>
  <si>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</si>
  <si>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</si>
  <si>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</si>
  <si>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</si>
  <si>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</si>
  <si>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</si>
  <si>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</si>
  <si>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</si>
  <si>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</si>
  <si>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</si>
  <si>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</si>
  <si>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</si>
  <si>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</si>
  <si>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</si>
  <si>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</si>
  <si>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</si>
  <si>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</si>
  <si>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</si>
  <si>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</si>
  <si>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</si>
  <si>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</si>
  <si>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</si>
  <si>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</si>
  <si>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</si>
  <si>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</si>
  <si>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</si>
  <si>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</si>
  <si>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</si>
  <si>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</si>
  <si>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</si>
  <si>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</si>
  <si>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</si>
  <si>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</si>
  <si>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</si>
  <si>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</si>
  <si>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</si>
  <si>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</si>
  <si>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</si>
  <si>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</si>
  <si>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</si>
  <si>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</si>
  <si>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</si>
  <si>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</si>
  <si>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</si>
  <si>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</si>
  <si>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</si>
  <si>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</si>
  <si>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</si>
  <si>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</si>
  <si>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</si>
  <si>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</si>
  <si>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</si>
  <si>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</si>
  <si>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</si>
  <si>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</si>
  <si>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</si>
  <si>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</si>
  <si>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</si>
  <si>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</si>
  <si>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</si>
  <si>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</si>
  <si>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</si>
  <si>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</si>
  <si>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</si>
  <si>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</si>
  <si>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</si>
  <si>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</si>
  <si>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</si>
  <si>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</si>
  <si>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</si>
  <si>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</si>
  <si>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</si>
  <si>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</si>
  <si>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</si>
  <si>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</si>
  <si>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</si>
  <si>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</si>
  <si>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</si>
  <si>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</si>
  <si>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</si>
  <si>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</si>
  <si>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</si>
  <si>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</si>
  <si>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</si>
  <si>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</si>
  <si>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</si>
  <si>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</si>
  <si>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</si>
  <si>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</si>
  <si>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</si>
  <si>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</si>
  <si>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</si>
  <si>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</si>
  <si>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</si>
  <si>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</si>
  <si>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</si>
  <si>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</si>
  <si>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</si>
  <si>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</si>
  <si>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</si>
  <si>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</si>
  <si>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</si>
  <si>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</si>
  <si>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</si>
  <si>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</si>
  <si>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</si>
  <si>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</si>
  <si>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</si>
  <si>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</si>
  <si>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</si>
  <si>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</si>
  <si>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</si>
  <si>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</si>
  <si>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</si>
  <si>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</si>
  <si>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</si>
  <si>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</si>
  <si>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</si>
  <si>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</si>
  <si>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</si>
  <si>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</si>
  <si>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</si>
  <si>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</si>
  <si>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</si>
  <si>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</si>
  <si>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</si>
  <si>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</si>
  <si>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</si>
  <si>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</si>
  <si>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</si>
  <si>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</si>
  <si>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</si>
  <si>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</si>
  <si>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</si>
  <si>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</si>
  <si>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</si>
  <si>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</si>
  <si>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</si>
  <si>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</si>
  <si>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</si>
  <si>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</si>
  <si>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</si>
  <si>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</si>
  <si>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</si>
  <si>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</si>
  <si>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</si>
  <si>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</si>
  <si>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</si>
  <si>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</si>
  <si>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</si>
  <si>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</si>
  <si>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</si>
  <si>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</si>
  <si>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</si>
  <si>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</si>
  <si>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</si>
  <si>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</si>
  <si>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</si>
  <si>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</si>
  <si>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</si>
  <si>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</si>
  <si>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</si>
  <si>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</si>
  <si>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</si>
  <si>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</si>
  <si>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</si>
  <si>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</si>
  <si>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</si>
  <si>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</si>
  <si>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</si>
  <si>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</si>
  <si>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</si>
  <si>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</si>
  <si>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</si>
  <si>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</si>
  <si>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</si>
  <si>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</si>
  <si>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</si>
  <si>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</si>
  <si>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</si>
  <si>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</si>
  <si>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</si>
  <si>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</si>
  <si>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</si>
  <si>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</si>
  <si>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</si>
  <si>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</si>
  <si>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</si>
  <si>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</si>
  <si>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</si>
  <si>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</si>
  <si>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</si>
  <si>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</si>
  <si>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</si>
  <si>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</si>
  <si>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</si>
  <si>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</si>
  <si>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</si>
  <si>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</si>
  <si>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</si>
  <si>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</si>
  <si>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</si>
  <si>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</si>
  <si>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</si>
  <si>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</si>
  <si>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</si>
  <si>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</si>
  <si>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</si>
  <si>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</si>
  <si>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</si>
  <si>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</si>
  <si>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</si>
  <si>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</si>
  <si>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</si>
  <si>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</si>
  <si>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</si>
  <si>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</si>
  <si>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</si>
  <si>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</si>
  <si>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</si>
  <si>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</si>
  <si>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</si>
  <si>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</si>
  <si>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</si>
  <si>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</si>
  <si>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</si>
  <si>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</si>
  <si>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</si>
  <si>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</si>
  <si>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</si>
  <si>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</si>
  <si>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</si>
  <si>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</si>
  <si>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</si>
  <si>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</si>
  <si>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</si>
  <si>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</si>
  <si>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</si>
  <si>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</si>
  <si>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</si>
  <si>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</si>
  <si>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</si>
  <si>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</si>
  <si>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</si>
  <si>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</si>
  <si>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</si>
  <si>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</si>
  <si>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</si>
  <si>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</si>
  <si>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</si>
  <si>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</si>
  <si>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</si>
  <si>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</si>
  <si>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</si>
  <si>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</si>
  <si>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</si>
  <si>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</si>
  <si>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</si>
  <si>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</si>
  <si>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</si>
  <si>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</si>
  <si>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</si>
  <si>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</si>
  <si>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</si>
  <si>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</si>
  <si>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</si>
  <si>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</si>
  <si>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</si>
  <si>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</si>
  <si>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</si>
  <si>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</si>
  <si>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</si>
  <si>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</si>
  <si>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</si>
  <si>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</si>
  <si>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</si>
  <si>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</si>
  <si>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</si>
  <si>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</si>
  <si>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</si>
  <si>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</si>
  <si>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</si>
  <si>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</si>
  <si>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</si>
  <si>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</si>
  <si>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</si>
  <si>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</si>
  <si>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</si>
  <si>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</si>
  <si>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</si>
  <si>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</si>
  <si>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</si>
  <si>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</si>
  <si>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</si>
  <si>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</si>
  <si>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</si>
  <si>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</si>
  <si>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</si>
  <si>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</si>
  <si>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</si>
  <si>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</si>
  <si>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</si>
  <si>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</si>
  <si>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</si>
  <si>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</si>
  <si>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</si>
  <si>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</si>
  <si>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</si>
  <si>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</si>
  <si>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</si>
  <si>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</si>
  <si>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</si>
  <si>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</si>
  <si>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</si>
  <si>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</si>
  <si>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</si>
  <si>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</si>
  <si>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</si>
  <si>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</si>
  <si>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</si>
  <si>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</si>
  <si>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</si>
  <si>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</si>
  <si>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</si>
  <si>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</si>
  <si>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</si>
  <si>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</si>
  <si>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</si>
  <si>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</si>
  <si>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</si>
  <si>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</si>
  <si>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</si>
  <si>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</si>
  <si>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</si>
  <si>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</si>
  <si>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</si>
  <si>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</si>
  <si>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</si>
  <si>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</si>
  <si>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</si>
  <si>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</si>
  <si>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</si>
  <si>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</si>
  <si>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</si>
  <si>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</si>
  <si>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</si>
  <si>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</si>
  <si>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</si>
  <si>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</si>
  <si>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</si>
  <si>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</si>
  <si>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</si>
  <si>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</si>
  <si>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</si>
  <si>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</si>
  <si>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</si>
  <si>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</si>
  <si>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</si>
  <si>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</si>
  <si>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</si>
  <si>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</si>
  <si>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</si>
  <si>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</si>
  <si>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</si>
  <si>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</si>
  <si>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</si>
  <si>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</si>
  <si>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</si>
  <si>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</si>
  <si>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</si>
  <si>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</si>
  <si>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</si>
  <si>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</si>
  <si>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</si>
  <si>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</si>
  <si>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</si>
  <si>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</si>
  <si>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</si>
  <si>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</si>
  <si>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</si>
  <si>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</si>
  <si>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</si>
  <si>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</si>
  <si>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</si>
  <si>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</si>
  <si>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</si>
  <si>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</si>
  <si>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</si>
  <si>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</si>
  <si>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</si>
  <si>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</si>
  <si>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</si>
  <si>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</si>
  <si>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</si>
  <si>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</si>
  <si>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</si>
  <si>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</si>
  <si>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</si>
  <si>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</si>
  <si>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</si>
  <si>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</si>
  <si>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</si>
  <si>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</si>
  <si>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</si>
  <si>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</si>
  <si>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</si>
  <si>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</si>
  <si>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</si>
  <si>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</si>
  <si>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</si>
  <si>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</si>
  <si>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</si>
  <si>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</si>
  <si>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</si>
  <si>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</si>
  <si>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</si>
  <si>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</si>
  <si>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</si>
  <si>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</si>
  <si>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</si>
  <si>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</si>
  <si>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</si>
  <si>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</si>
  <si>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</si>
  <si>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</si>
  <si>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</si>
  <si>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</si>
  <si>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</si>
  <si>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</si>
  <si>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</si>
  <si>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</si>
  <si>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</si>
  <si>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</si>
  <si>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</si>
  <si>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</si>
  <si>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</si>
  <si>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</si>
  <si>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</si>
  <si>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</si>
  <si>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</si>
  <si>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</si>
  <si>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</si>
  <si>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</si>
  <si>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</si>
  <si>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</si>
  <si>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</si>
  <si>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</si>
  <si>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</si>
  <si>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</si>
  <si>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</si>
  <si>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</si>
  <si>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</si>
  <si>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</si>
  <si>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</si>
  <si>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</si>
  <si>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</si>
  <si>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</si>
  <si>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</si>
  <si>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</si>
  <si>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</si>
  <si>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</si>
  <si>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</si>
  <si>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</si>
  <si>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</si>
  <si>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</si>
  <si>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</si>
  <si>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</si>
  <si>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</si>
  <si>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</si>
  <si>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</si>
  <si>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</si>
  <si>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</si>
  <si>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</si>
  <si>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</si>
  <si>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</si>
  <si>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</si>
  <si>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</si>
  <si>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</si>
  <si>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</si>
  <si>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</si>
  <si>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</si>
  <si>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</si>
  <si>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</si>
  <si>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</si>
  <si>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</si>
  <si>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</si>
  <si>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</si>
  <si>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</si>
  <si>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</si>
  <si>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</si>
  <si>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</si>
  <si>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</si>
  <si>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</si>
  <si>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</si>
  <si>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</si>
  <si>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</si>
  <si>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</si>
  <si>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</si>
  <si>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</si>
  <si>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</si>
  <si>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</si>
  <si>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</si>
  <si>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</si>
  <si>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</si>
  <si>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</si>
  <si>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</si>
  <si>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</si>
  <si>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</si>
  <si>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</si>
  <si>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</si>
  <si>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</si>
  <si>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</si>
  <si>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</si>
  <si>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</si>
  <si>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</si>
  <si>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</si>
  <si>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</si>
  <si>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</si>
  <si>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</si>
  <si>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</si>
  <si>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</si>
  <si>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</si>
  <si>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</si>
  <si>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</si>
  <si>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</si>
  <si>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</si>
  <si>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</si>
  <si>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</si>
  <si>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</si>
  <si>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</si>
  <si>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</si>
  <si>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</si>
  <si>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</si>
  <si>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</si>
  <si>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</si>
  <si>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</si>
  <si>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</si>
  <si>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</si>
  <si>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</si>
  <si>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</si>
  <si>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</si>
  <si>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</si>
  <si>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</si>
  <si>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</si>
  <si>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</si>
  <si>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</si>
  <si>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</si>
  <si>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</si>
  <si>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</si>
  <si>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</si>
  <si>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</si>
  <si>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</si>
  <si>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</si>
  <si>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</si>
  <si>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</si>
  <si>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</si>
  <si>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</si>
  <si>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</si>
  <si>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</si>
  <si>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</si>
  <si>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</si>
  <si>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</si>
  <si>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</si>
  <si>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</si>
  <si>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</si>
  <si>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</si>
  <si>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</si>
  <si>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</si>
  <si>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</si>
  <si>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</si>
  <si>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</si>
  <si>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</si>
  <si>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</si>
  <si>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</si>
  <si>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</si>
  <si>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</si>
  <si>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</si>
  <si>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</si>
  <si>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</si>
  <si>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</si>
  <si>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</si>
  <si>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</si>
  <si>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</si>
  <si>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</si>
  <si>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</si>
  <si>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</si>
  <si>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</si>
  <si>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</si>
  <si>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</si>
  <si>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</si>
  <si>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</si>
  <si>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</si>
  <si>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</si>
  <si>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</si>
  <si>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</si>
  <si>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</si>
  <si>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</si>
  <si>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</si>
  <si>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</si>
  <si>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</si>
  <si>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</si>
  <si>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</si>
  <si>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</si>
  <si>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</si>
  <si>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</si>
  <si>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</si>
  <si>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</si>
  <si>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</si>
  <si>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</si>
  <si>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</si>
  <si>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</si>
  <si>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</si>
  <si>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</si>
  <si>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</si>
  <si>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</si>
  <si>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</si>
  <si>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</si>
  <si>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</si>
  <si>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</si>
  <si>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</si>
  <si>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</si>
  <si>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</si>
  <si>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</si>
  <si>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</si>
  <si>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</si>
  <si>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</si>
  <si>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</si>
  <si>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</si>
  <si>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</si>
  <si>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</si>
  <si>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</si>
  <si>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</si>
  <si>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</si>
  <si>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</si>
  <si>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</si>
  <si>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</si>
  <si>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</si>
  <si>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</si>
  <si>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</si>
  <si>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</si>
  <si>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</si>
  <si>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</si>
  <si>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</si>
  <si>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</si>
  <si>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</si>
  <si>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</si>
  <si>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</si>
  <si>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</si>
  <si>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</si>
  <si>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</si>
  <si>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</si>
  <si>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</si>
  <si>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</si>
  <si>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</si>
  <si>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</si>
  <si>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</si>
  <si>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</si>
  <si>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</si>
  <si>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</si>
  <si>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</si>
  <si>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</si>
  <si>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</si>
  <si>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</si>
  <si>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</si>
  <si>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</si>
  <si>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</si>
  <si>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</si>
  <si>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</si>
  <si>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</si>
  <si>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</si>
  <si>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</si>
  <si>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</si>
  <si>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</si>
  <si>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</si>
  <si>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</si>
  <si>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</si>
  <si>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</si>
  <si>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</si>
  <si>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</si>
  <si>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</si>
  <si>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</si>
  <si>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</si>
  <si>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</si>
  <si>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</si>
  <si>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</si>
  <si>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</si>
  <si>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</si>
  <si>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</si>
  <si>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</si>
  <si>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</si>
  <si>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</si>
  <si>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</si>
  <si>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</si>
  <si>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</si>
  <si>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</si>
  <si>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</si>
  <si>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</si>
  <si>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</si>
  <si>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</si>
  <si>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</si>
  <si>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</si>
  <si>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</si>
  <si>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</si>
  <si>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</si>
  <si>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</si>
  <si>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</si>
  <si>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</si>
  <si>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</si>
  <si>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</si>
  <si>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</si>
  <si>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</si>
  <si>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</si>
  <si>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</si>
  <si>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</si>
  <si>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</si>
  <si>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</si>
  <si>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</si>
  <si>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</si>
  <si>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</si>
  <si>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</si>
  <si>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</si>
  <si>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</si>
  <si>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</si>
  <si>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</si>
  <si>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</si>
  <si>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</si>
  <si>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</si>
  <si>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</si>
  <si>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</si>
  <si>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</si>
  <si>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</si>
  <si>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</si>
  <si>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</si>
  <si>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</si>
  <si>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</si>
  <si>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</si>
  <si>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</si>
  <si>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</si>
  <si>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</si>
  <si>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</si>
  <si>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</si>
  <si>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</si>
  <si>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</si>
  <si>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</si>
  <si>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</si>
  <si>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</si>
  <si>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</si>
  <si>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</si>
  <si>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</si>
  <si>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</si>
  <si>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</si>
  <si>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</si>
  <si>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</si>
  <si>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</si>
  <si>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</si>
  <si>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</si>
  <si>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</si>
  <si>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</si>
  <si>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</si>
  <si>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</si>
  <si>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</si>
  <si>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</si>
  <si>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</si>
  <si>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</si>
  <si>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</si>
  <si>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</si>
  <si>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</si>
  <si>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</si>
  <si>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</si>
  <si>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</si>
  <si>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</si>
  <si>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</si>
  <si>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</si>
  <si>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</si>
  <si>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</si>
  <si>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</si>
  <si>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</si>
  <si>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</si>
  <si>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</si>
  <si>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</si>
  <si>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</si>
  <si>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</si>
  <si>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</si>
  <si>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</si>
  <si>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</si>
  <si>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</si>
  <si>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</si>
  <si>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</si>
  <si>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</si>
  <si>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</si>
  <si>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</si>
  <si>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</si>
  <si>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</si>
  <si>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</si>
  <si>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</si>
  <si>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</si>
  <si>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</si>
  <si>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</si>
  <si>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</si>
  <si>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</si>
  <si>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</si>
  <si>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</si>
  <si>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</si>
  <si>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</si>
  <si>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</si>
  <si>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</si>
  <si>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</si>
  <si>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</si>
  <si>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</si>
  <si>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</si>
  <si>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</si>
  <si>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</si>
  <si>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</si>
  <si>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</si>
  <si>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</si>
  <si>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</si>
  <si>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</si>
  <si>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</si>
  <si>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</si>
  <si>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</si>
  <si>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</si>
  <si>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</si>
  <si>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</si>
  <si>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</si>
  <si>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</si>
  <si>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</si>
  <si>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</si>
  <si>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</si>
  <si>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</si>
  <si>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</si>
  <si>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</si>
  <si>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</si>
  <si>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</si>
  <si>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</si>
  <si>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</si>
  <si>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</si>
  <si>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</si>
  <si>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</si>
  <si>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</si>
  <si>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</si>
  <si>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</si>
  <si>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</si>
  <si>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</si>
  <si>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</si>
  <si>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</si>
  <si>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</si>
  <si>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</si>
  <si>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</si>
  <si>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</si>
  <si>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</si>
  <si>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</si>
  <si>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</si>
  <si>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</si>
  <si>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</si>
  <si>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</si>
  <si>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</si>
  <si>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</si>
  <si>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</si>
  <si>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</si>
  <si>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</si>
  <si>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</si>
  <si>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</si>
  <si>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</si>
  <si>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</si>
  <si>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</si>
  <si>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</si>
  <si>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</si>
  <si>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</si>
  <si>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</si>
  <si>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</si>
  <si>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</si>
  <si>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</si>
  <si>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</si>
  <si>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</si>
  <si>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</si>
  <si>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</si>
  <si>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</si>
  <si>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</si>
  <si>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</si>
  <si>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</si>
  <si>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</si>
  <si>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</si>
  <si>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</si>
  <si>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</si>
  <si>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</si>
  <si>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</si>
  <si>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</si>
  <si>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</si>
  <si>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</si>
  <si>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</si>
  <si>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</si>
  <si>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</si>
  <si>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</si>
  <si>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</si>
  <si>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</si>
  <si>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</si>
  <si>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</si>
  <si>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</si>
  <si>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</si>
  <si>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</si>
  <si>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</si>
  <si>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</si>
  <si>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</si>
  <si>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</si>
  <si>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</si>
  <si>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</si>
  <si>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</si>
  <si>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</si>
  <si>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</si>
  <si>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</si>
  <si>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</si>
  <si>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</si>
  <si>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</si>
  <si>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</si>
  <si>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</si>
  <si>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</si>
  <si>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</si>
  <si>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</si>
  <si>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</si>
  <si>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</si>
  <si>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</si>
  <si>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</si>
  <si>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</si>
  <si>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</si>
  <si>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</si>
  <si>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</si>
  <si>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</si>
  <si>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</si>
  <si>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</si>
  <si>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</si>
  <si>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</si>
  <si>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</si>
  <si>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</si>
  <si>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</si>
  <si>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</si>
  <si>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</si>
  <si>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</si>
  <si>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</si>
  <si>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</si>
  <si>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</si>
  <si>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</si>
  <si>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</si>
  <si>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</si>
  <si>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</si>
  <si>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</si>
  <si>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</si>
  <si>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</si>
  <si>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</si>
  <si>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</si>
  <si>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</si>
  <si>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</si>
  <si>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</si>
  <si>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</si>
  <si>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</si>
  <si>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</si>
  <si>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</si>
  <si>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</si>
  <si>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</si>
  <si>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</si>
  <si>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</si>
  <si>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</si>
  <si>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</si>
  <si>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</si>
  <si>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</si>
  <si>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</si>
  <si>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</si>
  <si>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</si>
  <si>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</si>
  <si>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</si>
  <si>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</si>
  <si>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</si>
  <si>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</si>
  <si>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</si>
  <si>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</si>
  <si>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</si>
  <si>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</si>
  <si>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</si>
  <si>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</si>
  <si>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</si>
  <si>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</si>
  <si>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</si>
  <si>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</si>
  <si>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</si>
  <si>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</si>
  <si>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</si>
  <si>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</si>
  <si>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</si>
  <si>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</si>
  <si>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</si>
  <si>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</si>
  <si>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</si>
  <si>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</si>
  <si>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</si>
  <si>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</si>
  <si>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</si>
  <si>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</si>
  <si>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</si>
  <si>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</si>
  <si>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</si>
  <si>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</si>
  <si>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</si>
  <si>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</si>
  <si>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</si>
  <si>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</si>
  <si>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</si>
  <si>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</si>
  <si>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</si>
  <si>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</si>
  <si>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</si>
  <si>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</si>
  <si>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</si>
  <si>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</si>
  <si>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</si>
  <si>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</si>
  <si>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</si>
  <si>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</si>
  <si>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</si>
  <si>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</si>
  <si>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</si>
  <si>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</si>
  <si>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</si>
  <si>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</si>
  <si>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</si>
  <si>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</si>
  <si>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</si>
  <si>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</si>
  <si>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</si>
  <si>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</si>
  <si>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</si>
  <si>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</si>
  <si>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</si>
  <si>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</si>
  <si>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</si>
  <si>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</si>
  <si>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</si>
  <si>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</si>
  <si>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</si>
  <si>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</si>
  <si>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</si>
  <si>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</si>
  <si>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</si>
  <si>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</si>
  <si>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</si>
  <si>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</si>
  <si>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</si>
  <si>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</si>
  <si>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</si>
  <si>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</si>
  <si>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</si>
  <si>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</si>
  <si>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</si>
  <si>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</si>
  <si>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</si>
  <si>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</si>
  <si>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</si>
  <si>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</si>
  <si>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</si>
  <si>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</si>
  <si>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</si>
  <si>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</si>
  <si>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</si>
  <si>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</si>
  <si>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</si>
  <si>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</si>
  <si>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</si>
  <si>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</si>
  <si>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</si>
  <si>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</si>
  <si>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</si>
  <si>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</si>
  <si>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</si>
  <si>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</si>
  <si>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</si>
  <si>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</si>
  <si>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</si>
  <si>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</si>
  <si>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</si>
  <si>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</si>
  <si>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</si>
  <si>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</si>
  <si>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</si>
  <si>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</si>
  <si>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</si>
  <si>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</si>
  <si>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</si>
  <si>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</si>
  <si>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</si>
  <si>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</si>
  <si>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</si>
  <si>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</si>
  <si>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</si>
  <si>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</si>
  <si>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</si>
  <si>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</si>
  <si>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</si>
  <si>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</si>
  <si>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</si>
  <si>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</si>
  <si>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</si>
  <si>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</si>
  <si>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</si>
  <si>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</si>
  <si>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</si>
  <si>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</si>
  <si>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</si>
  <si>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</si>
  <si>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</si>
  <si>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</si>
  <si>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</si>
  <si>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</si>
  <si>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</si>
  <si>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</si>
  <si>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</si>
  <si>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</si>
  <si>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</si>
  <si>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</si>
  <si>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</si>
  <si>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</si>
  <si>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</si>
  <si>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</si>
  <si>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</si>
  <si>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</si>
  <si>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</si>
  <si>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</si>
  <si>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</si>
  <si>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</si>
  <si>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</si>
  <si>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</si>
  <si>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</si>
  <si>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</si>
  <si>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</si>
  <si>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</si>
  <si>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</si>
  <si>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</si>
  <si>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</si>
  <si>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</si>
  <si>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</si>
  <si>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</si>
  <si>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</si>
  <si>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</si>
  <si>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</si>
  <si>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</si>
  <si>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</si>
  <si>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</si>
  <si>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</si>
  <si>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</si>
  <si>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</si>
  <si>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</si>
  <si>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</si>
  <si>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</si>
  <si>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</si>
  <si>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</si>
  <si>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</si>
  <si>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</si>
  <si>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</si>
  <si>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</si>
  <si>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</si>
  <si>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</si>
  <si>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</si>
  <si>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</si>
  <si>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</si>
  <si>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</si>
  <si>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</si>
  <si>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</si>
  <si>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</si>
  <si>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</si>
  <si>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</si>
  <si>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</si>
  <si>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</si>
  <si>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</si>
  <si>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</si>
  <si>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</si>
  <si>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</si>
  <si>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</si>
  <si>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</si>
  <si>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</si>
  <si>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</si>
  <si>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</si>
  <si>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</si>
  <si>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</si>
  <si>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</si>
  <si>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</si>
  <si>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</si>
  <si>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</si>
  <si>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</si>
  <si>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</si>
  <si>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</si>
  <si>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</si>
  <si>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</si>
  <si>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</si>
  <si>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</si>
  <si>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</si>
  <si>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</si>
  <si>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</si>
  <si>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</si>
  <si>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</si>
  <si>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</si>
  <si>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</si>
  <si>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</si>
  <si>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</si>
  <si>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</si>
  <si>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</si>
  <si>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</si>
  <si>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</si>
  <si>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</si>
  <si>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</si>
  <si>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</si>
  <si>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</si>
  <si>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</si>
  <si>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</si>
  <si>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</si>
  <si>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</si>
  <si>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</si>
  <si>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</si>
  <si>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</si>
  <si>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</si>
  <si>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</si>
  <si>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</si>
  <si>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</si>
  <si>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</si>
  <si>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</si>
  <si>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</si>
  <si>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</si>
  <si>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</si>
  <si>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</si>
  <si>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</si>
  <si>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</si>
  <si>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</si>
  <si>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</si>
  <si>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</si>
  <si>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</si>
  <si>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</si>
  <si>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</si>
  <si>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</si>
  <si>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</si>
  <si>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</si>
  <si>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</si>
  <si>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</si>
  <si>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</si>
  <si>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</si>
  <si>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</si>
  <si>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</si>
  <si>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</si>
  <si>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</si>
  <si>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</si>
  <si>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</si>
  <si>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</si>
  <si>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</si>
  <si>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</si>
  <si>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</si>
  <si>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</si>
  <si>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</si>
  <si>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</si>
  <si>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</si>
  <si>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</si>
  <si>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</si>
  <si>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</si>
  <si>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</si>
  <si>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</si>
  <si>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</si>
  <si>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</si>
  <si>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</si>
  <si>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</si>
  <si>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</si>
  <si>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</si>
  <si>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</si>
  <si>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</si>
  <si>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</si>
  <si>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</si>
  <si>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</si>
  <si>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</si>
  <si>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</si>
  <si>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</si>
  <si>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</si>
  <si>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</si>
  <si>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</si>
  <si>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</si>
  <si>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</si>
  <si>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</si>
  <si>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</si>
  <si>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</si>
  <si>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</si>
  <si>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</si>
  <si>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</si>
  <si>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</si>
  <si>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</si>
  <si>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</si>
  <si>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</si>
  <si>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</si>
  <si>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</si>
  <si>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</si>
  <si>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</si>
  <si>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</si>
  <si>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</si>
  <si>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</si>
  <si>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</si>
  <si>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</si>
  <si>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</si>
  <si>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</si>
  <si>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</si>
  <si>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</si>
  <si>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</si>
  <si>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</si>
  <si>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</si>
  <si>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</si>
  <si>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</si>
  <si>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</si>
  <si>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</si>
  <si>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</si>
  <si>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</si>
  <si>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</si>
  <si>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</si>
  <si>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</si>
  <si>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</si>
  <si>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</si>
  <si>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</si>
  <si>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</si>
  <si>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</si>
  <si>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</si>
  <si>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</si>
  <si>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</si>
  <si>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</si>
  <si>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</si>
  <si>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</si>
  <si>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</si>
  <si>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</si>
  <si>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</si>
  <si>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</si>
  <si>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</si>
  <si>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</si>
  <si>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</si>
  <si>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</si>
  <si>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</si>
  <si>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</si>
  <si>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</si>
  <si>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</si>
  <si>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</si>
  <si>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</si>
  <si>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</si>
  <si>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</si>
  <si>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</si>
  <si>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</si>
  <si>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</si>
  <si>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</si>
  <si>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</si>
  <si>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</si>
  <si>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</si>
  <si>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</si>
  <si>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</si>
  <si>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</si>
  <si>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</si>
  <si>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</si>
  <si>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</si>
  <si>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</si>
  <si>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</si>
  <si>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</si>
  <si>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</si>
  <si>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</si>
  <si>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</si>
  <si>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</si>
  <si>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</si>
  <si>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</si>
  <si>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</si>
  <si>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</si>
  <si>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</si>
  <si>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</si>
  <si>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</si>
  <si>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</si>
  <si>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</si>
  <si>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</si>
  <si>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</si>
  <si>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</si>
  <si>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</si>
  <si>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</si>
  <si>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</si>
  <si>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</si>
  <si>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</si>
  <si>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</si>
  <si>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</si>
  <si>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</si>
  <si>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</si>
  <si>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</si>
  <si>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</si>
  <si>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</si>
  <si>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</si>
  <si>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</si>
  <si>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</si>
  <si>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</si>
  <si>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</si>
  <si>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</si>
  <si>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</si>
  <si>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</si>
  <si>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</si>
  <si>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</si>
  <si>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</si>
  <si>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</si>
  <si>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</si>
  <si>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</si>
  <si>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</si>
  <si>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</si>
  <si>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</si>
  <si>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</si>
  <si>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</si>
  <si>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</si>
  <si>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</si>
  <si>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</si>
  <si>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</si>
  <si>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</si>
  <si>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</si>
  <si>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</si>
  <si>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</si>
  <si>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</si>
  <si>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</si>
  <si>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</si>
  <si>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</si>
  <si>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</si>
  <si>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</si>
  <si>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</si>
  <si>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</si>
  <si>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</si>
  <si>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</si>
  <si>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</si>
  <si>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</si>
  <si>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</si>
  <si>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</si>
  <si>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</si>
  <si>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</si>
  <si>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</si>
  <si>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</si>
  <si>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</si>
  <si>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</si>
  <si>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</si>
  <si>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</si>
  <si>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</si>
  <si>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</si>
  <si>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</si>
  <si>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</si>
  <si>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</si>
  <si>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</si>
  <si>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</si>
  <si>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</si>
  <si>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</si>
  <si>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</si>
  <si>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</si>
  <si>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</si>
  <si>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</si>
  <si>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</si>
  <si>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</si>
  <si>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</si>
  <si>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</si>
  <si>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</si>
  <si>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</si>
  <si>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</si>
  <si>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</si>
  <si>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</si>
  <si>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</si>
  <si>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</si>
  <si>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</si>
  <si>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</si>
  <si>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</si>
  <si>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</si>
  <si>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</si>
  <si>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</si>
  <si>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</si>
  <si>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</si>
  <si>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</si>
  <si>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</si>
  <si>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</si>
  <si>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</si>
  <si>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</si>
  <si>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</si>
  <si>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</si>
  <si>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</si>
  <si>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</si>
  <si>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</si>
  <si>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</si>
  <si>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</si>
  <si>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</si>
  <si>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</si>
  <si>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</si>
  <si>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</si>
  <si>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</si>
  <si>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</si>
  <si>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</si>
  <si>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</si>
  <si>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</si>
  <si>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</si>
  <si>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</si>
  <si>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</si>
  <si>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</si>
  <si>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</si>
  <si>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</si>
  <si>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</si>
  <si>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</si>
  <si>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</si>
  <si>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</si>
  <si>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</si>
  <si>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</si>
  <si>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</si>
  <si>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</si>
  <si>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</si>
  <si>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</si>
  <si>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</si>
  <si>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</si>
  <si>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</si>
  <si>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</si>
  <si>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</si>
  <si>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</si>
  <si>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</si>
  <si>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</si>
  <si>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</si>
  <si>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</si>
  <si>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</si>
  <si>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</si>
  <si>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</si>
  <si>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</si>
  <si>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</si>
  <si>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</si>
  <si>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</si>
  <si>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</si>
  <si>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</si>
  <si>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</si>
  <si>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</si>
  <si>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</si>
  <si>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</si>
  <si>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</si>
  <si>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</si>
  <si>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</si>
  <si>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</si>
  <si>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</si>
  <si>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</si>
  <si>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</si>
  <si>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</si>
  <si>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</si>
  <si>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</si>
  <si>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</si>
  <si>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</si>
  <si>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</si>
  <si>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</si>
  <si>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</si>
  <si>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</si>
  <si>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</si>
  <si>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</si>
  <si>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</si>
  <si>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</si>
  <si>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</si>
  <si>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</si>
  <si>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</si>
  <si>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</si>
  <si>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</si>
  <si>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</si>
  <si>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</si>
  <si>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</si>
  <si>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</si>
  <si>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</si>
  <si>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</si>
  <si>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</si>
  <si>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</si>
  <si>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</si>
  <si>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</si>
  <si>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</si>
  <si>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</si>
  <si>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</si>
  <si>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</si>
  <si>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</si>
  <si>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</si>
  <si>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</si>
  <si>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</si>
  <si>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</si>
  <si>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</si>
  <si>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</si>
  <si>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</si>
  <si>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</si>
  <si>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</si>
  <si>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</si>
  <si>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</si>
  <si>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</si>
  <si>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</si>
  <si>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</si>
  <si>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</si>
  <si>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</si>
  <si>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</si>
  <si>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</si>
  <si>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</si>
  <si>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</si>
  <si>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</si>
  <si>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</si>
  <si>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</si>
  <si>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</si>
  <si>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</si>
  <si>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</si>
  <si>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</si>
  <si>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</si>
  <si>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</si>
  <si>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</si>
  <si>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</si>
  <si>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</si>
  <si>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</si>
  <si>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</si>
  <si>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</si>
  <si>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</si>
  <si>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</si>
  <si>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</si>
  <si>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</si>
  <si>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</si>
  <si>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</si>
  <si>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</si>
  <si>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</si>
  <si>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</si>
  <si>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</si>
  <si>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</si>
  <si>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</si>
  <si>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</si>
  <si>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</si>
  <si>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</si>
  <si>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</si>
  <si>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</si>
  <si>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</si>
  <si>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</si>
  <si>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</si>
  <si>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</si>
  <si>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</si>
  <si>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</si>
  <si>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</si>
  <si>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</si>
  <si>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</si>
  <si>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</si>
  <si>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</si>
  <si>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</si>
  <si>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</si>
  <si>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</si>
  <si>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</si>
  <si>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</si>
  <si>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</si>
  <si>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</si>
  <si>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</si>
  <si>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</si>
  <si>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</si>
  <si>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</si>
  <si>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</si>
  <si>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</si>
  <si>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</si>
  <si>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</si>
  <si>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</si>
  <si>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</si>
  <si>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</si>
  <si>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</si>
  <si>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</si>
  <si>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</si>
  <si>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</si>
  <si>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</si>
  <si>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</si>
  <si>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</si>
  <si>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</si>
  <si>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</si>
  <si>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</si>
  <si>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</si>
  <si>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</si>
  <si>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</si>
  <si>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</si>
  <si>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</si>
  <si>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</si>
  <si>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</si>
  <si>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</si>
  <si>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</si>
  <si>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</si>
  <si>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</si>
  <si>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</si>
  <si>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</si>
  <si>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</si>
  <si>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</si>
  <si>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</si>
  <si>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</si>
  <si>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</si>
  <si>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</si>
  <si>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</si>
  <si>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</si>
  <si>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</si>
  <si>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</si>
  <si>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</si>
  <si>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</si>
  <si>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</si>
  <si>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</si>
  <si>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</si>
  <si>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</si>
  <si>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</si>
  <si>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</si>
  <si>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</si>
  <si>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</si>
  <si>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</si>
  <si>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</si>
  <si>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</si>
  <si>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</si>
  <si>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</si>
  <si>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</si>
  <si>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</si>
  <si>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</si>
  <si>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</si>
  <si>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</si>
  <si>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</si>
  <si>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</si>
  <si>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</si>
  <si>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</si>
  <si>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</si>
  <si>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</si>
  <si>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</si>
  <si>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</si>
  <si>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</si>
  <si>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</si>
  <si>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</si>
  <si>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</si>
  <si>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</si>
  <si>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</si>
  <si>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</si>
  <si>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</si>
  <si>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</si>
  <si>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</si>
  <si>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</si>
  <si>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</si>
  <si>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</si>
  <si>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</si>
  <si>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</si>
  <si>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</si>
  <si>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</si>
  <si>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</si>
  <si>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</si>
  <si>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</si>
  <si>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</si>
  <si>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</si>
  <si>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</si>
  <si>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</si>
  <si>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</si>
  <si>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</si>
  <si>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</si>
  <si>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</si>
  <si>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</si>
  <si>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</si>
  <si>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</si>
  <si>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</si>
  <si>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</si>
  <si>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</si>
  <si>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</si>
  <si>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</si>
  <si>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</si>
  <si>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</si>
  <si>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</si>
  <si>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</si>
  <si>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</si>
  <si>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</si>
  <si>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</si>
  <si>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</si>
  <si>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</si>
  <si>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</si>
  <si>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</si>
  <si>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</si>
  <si>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</si>
  <si>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</si>
  <si>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</si>
  <si>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</si>
  <si>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</si>
  <si>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</si>
  <si>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</si>
  <si>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</si>
  <si>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</si>
  <si>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</si>
  <si>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</si>
  <si>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</si>
  <si>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</si>
  <si>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</si>
  <si>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</si>
  <si>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</si>
  <si>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</si>
  <si>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</si>
  <si>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</si>
  <si>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</si>
  <si>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</si>
  <si>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</si>
  <si>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</si>
  <si>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</si>
  <si>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</si>
  <si>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</si>
  <si>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</si>
  <si>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</si>
  <si>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</si>
  <si>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</si>
  <si>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</si>
  <si>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</si>
  <si>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</si>
  <si>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</si>
  <si>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</si>
  <si>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</si>
  <si>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</si>
  <si>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</si>
  <si>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</si>
  <si>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</si>
  <si>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</si>
  <si>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</si>
  <si>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</si>
  <si>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</si>
  <si>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</si>
  <si>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</si>
  <si>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</si>
  <si>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</si>
  <si>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</si>
  <si>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</si>
  <si>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</si>
  <si>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</si>
  <si>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</si>
  <si>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</si>
  <si>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</si>
  <si>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</si>
  <si>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</si>
  <si>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</si>
  <si>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</si>
  <si>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</si>
  <si>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</si>
  <si>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</si>
  <si>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</si>
  <si>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</si>
  <si>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</si>
  <si>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</si>
  <si>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</si>
  <si>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</si>
  <si>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</si>
  <si>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</si>
  <si>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</si>
  <si>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</si>
  <si>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</si>
  <si>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</si>
  <si>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</si>
  <si>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</si>
  <si>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</si>
  <si>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</si>
  <si>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</si>
  <si>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</si>
  <si>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</si>
  <si>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</si>
  <si>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</si>
  <si>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</si>
  <si>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</si>
  <si>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</si>
  <si>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</si>
  <si>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</si>
  <si>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</si>
  <si>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</si>
  <si>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</si>
  <si>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</si>
  <si>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</si>
  <si>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</si>
  <si>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</si>
  <si>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</si>
  <si>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</si>
  <si>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</si>
  <si>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</si>
  <si>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</si>
  <si>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</si>
  <si>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</si>
  <si>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</si>
  <si>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</si>
  <si>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</si>
  <si>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</si>
  <si>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</si>
  <si>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</si>
  <si>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</si>
  <si>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</si>
  <si>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</si>
  <si>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</si>
  <si>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</si>
  <si>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</si>
  <si>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</si>
  <si>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</si>
  <si>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</si>
  <si>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</si>
  <si>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</si>
  <si>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</si>
  <si>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</si>
  <si>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</si>
  <si>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</si>
  <si>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</si>
  <si>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</si>
  <si>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</si>
  <si>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</si>
  <si>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</si>
  <si>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</si>
  <si>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</si>
  <si>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</si>
  <si>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</si>
  <si>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</si>
  <si>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</si>
  <si>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</si>
  <si>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</si>
  <si>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</si>
  <si>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</si>
  <si>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</si>
  <si>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</si>
  <si>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</si>
  <si>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</si>
  <si>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</si>
  <si>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</si>
  <si>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</si>
  <si>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</si>
  <si>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</si>
  <si>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</si>
  <si>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</si>
  <si>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</si>
  <si>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</si>
  <si>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</si>
  <si>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</si>
  <si>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</si>
  <si>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</si>
  <si>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</si>
  <si>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</si>
  <si>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</si>
  <si>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</si>
  <si>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</si>
  <si>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</si>
  <si>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</si>
  <si>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</si>
  <si>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</si>
  <si>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</si>
  <si>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</si>
  <si>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</si>
  <si>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</si>
  <si>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</si>
  <si>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</si>
  <si>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</si>
  <si>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</si>
  <si>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</si>
  <si>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</si>
  <si>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</si>
  <si>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</si>
  <si>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</si>
  <si>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</si>
  <si>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</si>
  <si>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</si>
  <si>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</si>
  <si>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</si>
  <si>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</si>
  <si>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</si>
  <si>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</si>
  <si>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</si>
  <si>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</si>
  <si>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</si>
  <si>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</si>
  <si>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</si>
  <si>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</si>
  <si>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</si>
  <si>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</si>
  <si>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</si>
  <si>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</si>
  <si>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</si>
  <si>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</si>
  <si>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</si>
  <si>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</si>
  <si>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</si>
  <si>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</si>
  <si>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</si>
  <si>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</si>
  <si>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</si>
  <si>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</si>
  <si>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</si>
  <si>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</si>
  <si>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</si>
  <si>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</si>
  <si>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</si>
  <si>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</si>
  <si>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</si>
  <si>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</si>
  <si>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</si>
  <si>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</si>
  <si>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</si>
  <si>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</si>
  <si>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</si>
  <si>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</si>
  <si>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</si>
  <si>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</si>
  <si>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</si>
  <si>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</si>
  <si>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</si>
  <si>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</si>
  <si>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</si>
  <si>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</si>
  <si>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</si>
  <si>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</si>
  <si>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</si>
  <si>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</si>
  <si>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</si>
  <si>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</si>
  <si>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</si>
  <si>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</si>
  <si>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</si>
  <si>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</si>
  <si>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</si>
  <si>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</si>
  <si>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</si>
  <si>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</si>
  <si>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</si>
  <si>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</si>
  <si>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</si>
  <si>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</si>
  <si>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</si>
  <si>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</si>
  <si>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</si>
  <si>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</si>
  <si>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</si>
  <si>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</si>
  <si>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</si>
  <si>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</si>
  <si>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</si>
  <si>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</si>
  <si>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</si>
  <si>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</si>
  <si>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</si>
  <si>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</si>
  <si>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</si>
  <si>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</si>
  <si>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</si>
  <si>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</si>
  <si>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</si>
  <si>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</si>
  <si>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</si>
  <si>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</si>
  <si>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</si>
  <si>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</si>
  <si>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</si>
  <si>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</si>
  <si>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</si>
  <si>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</si>
  <si>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</si>
  <si>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</si>
  <si>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</si>
  <si>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</si>
  <si>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</si>
  <si>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</si>
  <si>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</si>
  <si>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</si>
  <si>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</si>
  <si>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</si>
  <si>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</si>
  <si>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</si>
  <si>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</si>
  <si>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</si>
  <si>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</si>
  <si>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</si>
  <si>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</si>
  <si>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</si>
  <si>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</si>
  <si>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</si>
  <si>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</si>
  <si>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</si>
  <si>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</si>
  <si>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</si>
  <si>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</si>
  <si>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</si>
  <si>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</si>
  <si>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</si>
  <si>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</si>
  <si>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</si>
  <si>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</si>
  <si>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</si>
  <si>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</si>
  <si>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</si>
  <si>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</si>
  <si>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</si>
  <si>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</si>
  <si>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</si>
  <si>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</si>
  <si>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</si>
  <si>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</si>
  <si>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</si>
  <si>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</si>
  <si>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</si>
  <si>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</si>
  <si>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</si>
  <si>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</si>
  <si>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</si>
  <si>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</si>
  <si>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</si>
  <si>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</si>
  <si>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</si>
  <si>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</si>
  <si>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</si>
  <si>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</si>
  <si>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</si>
  <si>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</si>
  <si>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</si>
  <si>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</si>
  <si>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</si>
  <si>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</si>
  <si>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</si>
  <si>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</si>
  <si>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</si>
  <si>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</si>
  <si>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</si>
  <si>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</si>
  <si>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</si>
  <si>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</si>
  <si>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</si>
  <si>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</si>
  <si>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</si>
  <si>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</si>
  <si>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</si>
  <si>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</si>
  <si>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</si>
  <si>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</si>
  <si>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</si>
  <si>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</si>
  <si>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</si>
  <si>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</si>
  <si>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</si>
  <si>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</si>
  <si>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</si>
  <si>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</si>
  <si>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</si>
  <si>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</si>
  <si>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</si>
  <si>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</si>
  <si>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</si>
  <si>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</si>
  <si>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</si>
  <si>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</si>
  <si>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</si>
  <si>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</si>
  <si>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</si>
  <si>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</si>
  <si>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</si>
  <si>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</si>
  <si>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</si>
  <si>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</si>
  <si>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</si>
  <si>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</si>
  <si>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</si>
  <si>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</si>
  <si>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</si>
  <si>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</si>
  <si>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</si>
  <si>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</si>
  <si>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</si>
  <si>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</si>
  <si>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</si>
  <si>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</si>
  <si>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</si>
  <si>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</si>
  <si>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</si>
  <si>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</si>
  <si>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</si>
  <si>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</si>
  <si>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</si>
  <si>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</si>
  <si>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</si>
  <si>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</si>
  <si>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</si>
  <si>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</si>
  <si>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</si>
  <si>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</si>
  <si>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</si>
  <si>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</si>
  <si>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</si>
  <si>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</si>
  <si>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</si>
  <si>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</si>
  <si>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</si>
  <si>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</si>
  <si>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</si>
  <si>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</si>
  <si>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</si>
  <si>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</si>
  <si>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</si>
  <si>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</si>
  <si>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</si>
  <si>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</si>
  <si>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</si>
  <si>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</si>
  <si>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</si>
  <si>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</si>
  <si>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</si>
  <si>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</si>
  <si>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</si>
  <si>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</si>
  <si>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</si>
  <si>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</si>
  <si>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</si>
  <si>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</si>
  <si>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</si>
  <si>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</si>
  <si>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</si>
  <si>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</si>
  <si>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</si>
  <si>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</si>
  <si>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</si>
  <si>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</si>
  <si>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</si>
  <si>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</si>
  <si>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</si>
  <si>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</si>
  <si>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</si>
  <si>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</si>
  <si>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</si>
  <si>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</si>
  <si>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</si>
  <si>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</si>
  <si>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</si>
  <si>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</si>
  <si>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</si>
  <si>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</si>
  <si>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</si>
  <si>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</si>
  <si>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</si>
  <si>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</si>
  <si>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</si>
  <si>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</si>
  <si>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</si>
  <si>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</si>
  <si>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</si>
  <si>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</si>
  <si>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</si>
  <si>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</si>
  <si>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</si>
  <si>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</si>
  <si>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</si>
  <si>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</si>
  <si>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</si>
  <si>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</si>
  <si>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</si>
  <si>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</si>
  <si>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</si>
  <si>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</si>
  <si>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</si>
  <si>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</si>
  <si>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</si>
  <si>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</si>
  <si>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</si>
  <si>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</si>
  <si>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</si>
  <si>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</si>
  <si>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</si>
  <si>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</si>
  <si>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</si>
  <si>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</si>
  <si>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</si>
  <si>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</si>
  <si>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</si>
  <si>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</si>
  <si>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</si>
  <si>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</si>
  <si>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</si>
  <si>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</si>
  <si>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</si>
  <si>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</si>
  <si>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</si>
  <si>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</si>
  <si>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</si>
  <si>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</si>
  <si>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</si>
  <si>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</si>
  <si>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</si>
  <si>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</si>
  <si>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</si>
  <si>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</si>
  <si>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</si>
  <si>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</si>
  <si>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</si>
  <si>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</si>
  <si>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</si>
  <si>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</si>
  <si>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</si>
  <si>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</si>
  <si>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</si>
  <si>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</si>
  <si>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</si>
  <si>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</si>
  <si>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</si>
  <si>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</si>
  <si>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</si>
  <si>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</si>
  <si>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</si>
  <si>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</si>
  <si>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</si>
  <si>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</si>
  <si>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</si>
  <si>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</si>
  <si>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</si>
  <si>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</si>
  <si>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</si>
  <si>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</si>
  <si>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</si>
  <si>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</si>
  <si>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</si>
  <si>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</si>
  <si>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</si>
  <si>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</si>
  <si>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</si>
  <si>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</si>
  <si>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</si>
  <si>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</si>
  <si>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</si>
  <si>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</si>
  <si>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</si>
  <si>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</si>
  <si>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</si>
  <si>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</si>
  <si>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</si>
  <si>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</si>
  <si>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</si>
  <si>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</si>
  <si>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</si>
  <si>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</si>
  <si>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</si>
  <si>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</si>
  <si>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</si>
  <si>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</si>
  <si>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</si>
  <si>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</si>
  <si>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</si>
  <si>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</si>
  <si>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</si>
  <si>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</si>
  <si>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</si>
  <si>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</si>
  <si>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</si>
  <si>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</si>
  <si>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</si>
  <si>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</si>
  <si>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</si>
  <si>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</si>
  <si>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</si>
  <si>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</si>
  <si>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</si>
  <si>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</si>
  <si>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</si>
  <si>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</si>
  <si>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</si>
  <si>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</si>
  <si>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</si>
  <si>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</si>
  <si>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</si>
  <si>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</si>
  <si>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</si>
  <si>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</si>
  <si>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</si>
  <si>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</si>
  <si>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</si>
  <si>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</si>
  <si>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</si>
  <si>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</si>
  <si>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</si>
  <si>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</si>
  <si>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</si>
  <si>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</si>
  <si>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</si>
  <si>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</si>
  <si>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</si>
  <si>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</si>
  <si>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</si>
  <si>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</si>
  <si>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</si>
  <si>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</si>
  <si>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</si>
  <si>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</si>
  <si>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</si>
  <si>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</si>
  <si>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</si>
  <si>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</si>
  <si>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</si>
  <si>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</si>
  <si>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</si>
  <si>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</si>
  <si>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</si>
  <si>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</si>
  <si>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</si>
  <si>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</si>
  <si>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</si>
  <si>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</si>
  <si>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</si>
  <si>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</si>
  <si>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</si>
  <si>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</si>
  <si>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</si>
  <si>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</si>
  <si>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</si>
  <si>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</si>
  <si>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</si>
  <si>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</si>
  <si>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</si>
  <si>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</si>
  <si>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</si>
  <si>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</si>
  <si>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</si>
  <si>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</si>
  <si>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</si>
  <si>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</si>
  <si>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</si>
  <si>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</si>
  <si>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</si>
  <si>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</si>
  <si>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</si>
  <si>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</si>
  <si>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</si>
  <si>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</si>
  <si>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</si>
  <si>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</si>
  <si>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</si>
  <si>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</si>
  <si>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</si>
  <si>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</si>
  <si>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</si>
  <si>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</si>
  <si>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</si>
  <si>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</si>
  <si>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</si>
  <si>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</si>
  <si>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</si>
  <si>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</si>
  <si>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</si>
  <si>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</si>
  <si>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</si>
  <si>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</si>
  <si>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</si>
  <si>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</si>
  <si>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</si>
  <si>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</si>
  <si>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</si>
  <si>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</si>
  <si>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</si>
  <si>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</si>
  <si>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</si>
  <si>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</si>
  <si>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</si>
  <si>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</si>
  <si>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</si>
  <si>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</si>
  <si>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</si>
  <si>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</si>
  <si>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</si>
  <si>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</si>
  <si>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</si>
  <si>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</si>
  <si>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</si>
  <si>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</si>
  <si>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</si>
  <si>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</si>
  <si>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</si>
  <si>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</si>
  <si>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</si>
  <si>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</si>
  <si>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</si>
  <si>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</si>
  <si>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</si>
  <si>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</si>
  <si>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</si>
  <si>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</si>
  <si>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</si>
  <si>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</si>
  <si>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</si>
  <si>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</si>
  <si>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</si>
  <si>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</si>
  <si>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</si>
  <si>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</si>
  <si>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</si>
  <si>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</si>
  <si>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</si>
  <si>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</si>
  <si>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</si>
  <si>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</si>
  <si>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</si>
  <si>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</si>
  <si>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</si>
  <si>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</si>
  <si>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</si>
  <si>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</si>
  <si>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</si>
  <si>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</si>
  <si>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</si>
  <si>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</si>
  <si>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</si>
  <si>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</si>
  <si>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</si>
  <si>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</si>
  <si>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</si>
  <si>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</si>
  <si>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</si>
  <si>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</si>
  <si>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</si>
  <si>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</si>
  <si>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</si>
  <si>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</si>
  <si>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</si>
  <si>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</si>
  <si>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</si>
  <si>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</si>
  <si>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</si>
  <si>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</si>
  <si>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</si>
  <si>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</si>
  <si>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</si>
  <si>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</si>
  <si>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</si>
  <si>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</si>
  <si>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</si>
  <si>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</si>
  <si>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</si>
  <si>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</si>
  <si>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</si>
  <si>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</si>
  <si>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</si>
  <si>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</si>
  <si>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</si>
  <si>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</si>
  <si>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</si>
  <si>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</si>
  <si>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</si>
  <si>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</si>
  <si>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</si>
  <si>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</si>
  <si>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</si>
  <si>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</si>
  <si>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</si>
  <si>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</si>
  <si>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</si>
  <si>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</si>
  <si>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</si>
  <si>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</si>
  <si>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</si>
  <si>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</si>
  <si>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</si>
  <si>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</si>
  <si>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</si>
  <si>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</si>
  <si>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</si>
  <si>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</si>
  <si>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</si>
  <si>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</si>
  <si>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</si>
  <si>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</si>
  <si>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</si>
  <si>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</si>
  <si>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</si>
  <si>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</si>
  <si>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</si>
  <si>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</si>
  <si>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</si>
  <si>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</si>
  <si>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</si>
  <si>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</si>
  <si>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</si>
  <si>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</si>
  <si>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</si>
  <si>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</si>
  <si>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</si>
  <si>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</si>
  <si>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</si>
  <si>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</si>
  <si>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</si>
  <si>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</si>
  <si>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</si>
  <si>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</si>
  <si>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</si>
  <si>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</si>
  <si>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</si>
  <si>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</si>
  <si>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</si>
  <si>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</si>
  <si>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</si>
  <si>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</si>
  <si>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</si>
  <si>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</si>
  <si>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</si>
  <si>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</si>
  <si>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</si>
  <si>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</si>
  <si>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</si>
  <si>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</si>
  <si>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</si>
  <si>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</si>
  <si>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</si>
  <si>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</si>
  <si>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</si>
  <si>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</si>
  <si>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</si>
  <si>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</si>
  <si>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</si>
  <si>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</si>
  <si>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</si>
  <si>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</si>
  <si>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</si>
  <si>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</si>
  <si>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</si>
  <si>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</si>
  <si>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</si>
  <si>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</si>
  <si>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</si>
  <si>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</si>
  <si>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</si>
  <si>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</si>
  <si>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</si>
  <si>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</si>
  <si>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</si>
  <si>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</si>
  <si>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</si>
  <si>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</si>
  <si>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</si>
  <si>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</si>
  <si>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</si>
  <si>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</si>
  <si>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</si>
  <si>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</si>
  <si>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</si>
  <si>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</si>
  <si>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</si>
  <si>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</si>
  <si>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</si>
  <si>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</si>
  <si>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</si>
  <si>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</si>
  <si>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</si>
  <si>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</si>
  <si>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</si>
  <si>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</si>
  <si>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</si>
  <si>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</si>
  <si>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</si>
  <si>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</si>
  <si>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</si>
  <si>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</si>
  <si>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</si>
  <si>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</si>
  <si>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</si>
  <si>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</si>
  <si>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</si>
  <si>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</si>
  <si>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</si>
  <si>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</si>
  <si>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</si>
  <si>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</si>
  <si>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</si>
  <si>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</si>
  <si>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</si>
  <si>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</si>
  <si>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</si>
  <si>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</si>
  <si>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</si>
  <si>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</si>
  <si>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</si>
  <si>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</si>
  <si>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</si>
  <si>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</si>
  <si>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</si>
  <si>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</si>
  <si>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</si>
  <si>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</si>
  <si>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</si>
  <si>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</si>
  <si>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rugby - bežné transfery</t>
  </si>
  <si>
    <t>obec Konská</t>
  </si>
  <si>
    <t>Turnaj talentovanej mládeže - prenájom ihriska - obec Konská</t>
  </si>
  <si>
    <t>ME ženy Chorvátsko - ubytovanie</t>
  </si>
  <si>
    <t>Eventra service d.o.o.</t>
  </si>
  <si>
    <t>Bankový poplatok - administratíva</t>
  </si>
  <si>
    <t>31320155</t>
  </si>
  <si>
    <t>VÚB, a.s.</t>
  </si>
  <si>
    <t>ME ženy Moldavsko - ubytovanie</t>
  </si>
  <si>
    <t>Alexandr-Grup SRL</t>
  </si>
  <si>
    <t>Sústredenie talentovanej mládeže U14, úhrada výdavkov</t>
  </si>
  <si>
    <t>FO</t>
  </si>
  <si>
    <t>osoba 5</t>
  </si>
  <si>
    <t>ME ženy Chorvátsko - doprava</t>
  </si>
  <si>
    <t>Darent BA, s.r.o.</t>
  </si>
  <si>
    <t xml:space="preserve">ME ženy Moldavsko - letenky </t>
  </si>
  <si>
    <t>tripex, s.r.o.</t>
  </si>
  <si>
    <t>50774379</t>
  </si>
  <si>
    <t>45575771</t>
  </si>
  <si>
    <t>ME muži Kosovo - letenky</t>
  </si>
  <si>
    <t>Sústredenie talentovanej mládeže - Piešťany</t>
  </si>
  <si>
    <t>PFK Piešťany</t>
  </si>
  <si>
    <t>37990420</t>
  </si>
  <si>
    <t>osoba 6</t>
  </si>
  <si>
    <t>Web - doména - administratíva</t>
  </si>
  <si>
    <t>Websupport, s.r.o.</t>
  </si>
  <si>
    <t>36421928</t>
  </si>
  <si>
    <t>Sústredenie talentovanej mládeže - ženy</t>
  </si>
  <si>
    <t>Sústredenie talentovanej mládeže - ženy, úhrada cestovných výdavkov kondičného trénera</t>
  </si>
  <si>
    <t>Jiří Jurtík</t>
  </si>
  <si>
    <t>Web rugbyunion.sk - hosting</t>
  </si>
  <si>
    <t>osoba 4</t>
  </si>
  <si>
    <t>Sústredenie talentovanej mládeže - ženy, úhrada nákladov</t>
  </si>
  <si>
    <t>osoba 7</t>
  </si>
  <si>
    <t>Sústredenie talentovanej mládeže - muži, 7s</t>
  </si>
  <si>
    <t>osoba 8</t>
  </si>
  <si>
    <t>Zápas SR-Rakúsko - doprava rozhodcu</t>
  </si>
  <si>
    <t>Milan Masár</t>
  </si>
  <si>
    <t>34217525</t>
  </si>
  <si>
    <t>Zápas SR - Rakúsko - sanitka</t>
  </si>
  <si>
    <t>Ing. Jarmila Vizváryová</t>
  </si>
  <si>
    <t>37290169</t>
  </si>
  <si>
    <t>Dotácia pre kluby na mládež do 23 rokov</t>
  </si>
  <si>
    <t>1. RC Slovan</t>
  </si>
  <si>
    <t>Zápas SR - Rakúsko - stream</t>
  </si>
  <si>
    <t>Art Spektrum</t>
  </si>
  <si>
    <t>37926829</t>
  </si>
  <si>
    <t>47794097</t>
  </si>
  <si>
    <t>52565335</t>
  </si>
  <si>
    <t>42221056</t>
  </si>
  <si>
    <t>Žilina Bears</t>
  </si>
  <si>
    <t>Rugby Piešťany</t>
  </si>
  <si>
    <t>Zápas SR - Rakúsko - ihrisko</t>
  </si>
  <si>
    <t>Sústredenie talentovanej mládeže Praha</t>
  </si>
  <si>
    <t>osoba 9</t>
  </si>
  <si>
    <t>Sústredenie talentovanej mládeže Olomouc - úhrada nákladov</t>
  </si>
  <si>
    <t>2025-009</t>
  </si>
  <si>
    <t>2025-010</t>
  </si>
  <si>
    <t>2025-013</t>
  </si>
  <si>
    <t>2025-014</t>
  </si>
  <si>
    <t>2025-021</t>
  </si>
  <si>
    <t>0115-2025</t>
  </si>
  <si>
    <t>04/2022</t>
  </si>
  <si>
    <t>2025-023</t>
  </si>
  <si>
    <t>304</t>
  </si>
  <si>
    <t>2025-024</t>
  </si>
  <si>
    <t>2025-025</t>
  </si>
  <si>
    <t>2025-026</t>
  </si>
  <si>
    <t>2025-027</t>
  </si>
  <si>
    <t>2025-028</t>
  </si>
  <si>
    <t>202504441</t>
  </si>
  <si>
    <t>2025-029</t>
  </si>
  <si>
    <t>202504633</t>
  </si>
  <si>
    <t>2025-030</t>
  </si>
  <si>
    <t>20250042</t>
  </si>
  <si>
    <t>2025-031</t>
  </si>
  <si>
    <t>2025-032</t>
  </si>
  <si>
    <t>2025-033</t>
  </si>
  <si>
    <t>125206336</t>
  </si>
  <si>
    <t>2025-034</t>
  </si>
  <si>
    <t>26</t>
  </si>
  <si>
    <t>125223877</t>
  </si>
  <si>
    <t>2025-035</t>
  </si>
  <si>
    <t>2025-036</t>
  </si>
  <si>
    <t>2025-037</t>
  </si>
  <si>
    <t>2025-038</t>
  </si>
  <si>
    <t>2025-039</t>
  </si>
  <si>
    <t>2025-040</t>
  </si>
  <si>
    <t>2025-041</t>
  </si>
  <si>
    <t>2025-042</t>
  </si>
  <si>
    <t>20250230</t>
  </si>
  <si>
    <t>2025-043</t>
  </si>
  <si>
    <t>25VF125</t>
  </si>
  <si>
    <t>2025-044</t>
  </si>
  <si>
    <t>2025-045</t>
  </si>
  <si>
    <t>2025-046</t>
  </si>
  <si>
    <t>2025-047</t>
  </si>
  <si>
    <t>2025110086</t>
  </si>
  <si>
    <t>2025-048</t>
  </si>
  <si>
    <t>20250115</t>
  </si>
  <si>
    <t>Kontaktná osoba zodpovedná za vyplnený formulár
meno a priezvisko:Miloslav Surgoš
e-mail:office@rugbyunion.sk
tel. kontakt (mobil):0918 399 045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</si>
</sst>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21" val="12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59"/>
      <c r="D1" s="359"/>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3"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3" t="s">
        <v>1331</v>
      </c>
      <c r="C10" s="205"/>
      <c r="D10" s="205"/>
    </row>
    <row r="11" spans="1:4" s="18" customFormat="1" ht="42.75" customHeight="1" x14ac:dyDescent="0.2">
      <c r="A11" s="293" t="s">
        <v>1332</v>
      </c>
      <c r="C11" s="205"/>
      <c r="D11" s="205"/>
    </row>
    <row r="12" spans="1:4" s="18" customFormat="1" ht="20.45" customHeight="1" x14ac:dyDescent="0.2">
      <c r="A12" s="301" t="s">
        <v>1351</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60"/>
      <c r="D21" s="360"/>
    </row>
    <row r="22" spans="1:4" x14ac:dyDescent="0.2">
      <c r="C22" s="361"/>
      <c r="D22" s="360"/>
    </row>
    <row r="23" spans="1:4" ht="63.75" x14ac:dyDescent="0.2">
      <c r="A23" s="23" t="s">
        <v>1352</v>
      </c>
      <c r="C23" s="255"/>
      <c r="D23" s="256"/>
    </row>
    <row r="24" spans="1:4" ht="12.75" customHeight="1" x14ac:dyDescent="0.2">
      <c r="C24" s="357"/>
      <c r="D24" s="358"/>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1338</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4"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1348</v>
      </c>
    </row>
    <row r="133" spans="1:1" ht="61.5" customHeight="1" x14ac:dyDescent="0.2">
      <c r="A133" s="300" t="s">
        <v>1360</v>
      </c>
    </row>
    <row r="134" spans="1:1" x14ac:dyDescent="0.2">
      <c r="A134" s="260" t="s">
        <v>1361</v>
      </c>
    </row>
    <row r="135" spans="1:1" ht="102" x14ac:dyDescent="0.2">
      <c r="A135" s="300" t="s">
        <v>1349</v>
      </c>
    </row>
    <row r="136" spans="1:1" x14ac:dyDescent="0.2">
      <c r="A136"/>
    </row>
    <row r="137" spans="1:1" ht="71.45" customHeight="1" x14ac:dyDescent="0.2">
      <c r="A137" s="299"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62" t="s">
        <v>57</v>
      </c>
      <c r="B1" s="362"/>
      <c r="C1" s="362"/>
      <c r="D1" s="362"/>
      <c r="E1" s="362"/>
      <c r="F1" s="362"/>
      <c r="G1" s="362"/>
      <c r="H1" s="362"/>
      <c r="I1" s="52"/>
      <c r="J1" s="37"/>
    </row>
    <row r="2" spans="1:11" ht="15.75" x14ac:dyDescent="0.25">
      <c r="A2" s="368" t="s">
        <v>58</v>
      </c>
      <c r="B2" s="368"/>
      <c r="C2" s="368"/>
      <c r="D2" s="368"/>
      <c r="E2" s="368"/>
      <c r="F2" s="368"/>
      <c r="G2" s="368"/>
      <c r="H2" s="366" t="str">
        <f>+Doklady!I100</f>
        <v>V4</v>
      </c>
      <c r="I2" s="366"/>
    </row>
    <row r="3" spans="1:11" ht="15" x14ac:dyDescent="0.25">
      <c r="A3" s="40"/>
      <c r="B3" s="40"/>
      <c r="C3" s="40"/>
      <c r="D3" s="40"/>
      <c r="E3" s="40"/>
      <c r="F3" s="40"/>
      <c r="G3" s="40"/>
      <c r="H3" s="367">
        <f>+Doklady!I101</f>
        <v>45961</v>
      </c>
      <c r="I3" s="367"/>
    </row>
    <row r="4" spans="1:11" ht="15.75" customHeight="1" x14ac:dyDescent="0.2">
      <c r="A4" s="41" t="s">
        <v>59</v>
      </c>
      <c r="B4" s="363" t="s">
        <v>60</v>
      </c>
      <c r="C4" s="364"/>
      <c r="D4" s="364"/>
      <c r="E4" s="365"/>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0" priority="2" stopIfTrue="1">
      <formula>$A78&lt;&gt;""</formula>
    </cfRule>
  </conditionalFormatting>
  <conditionalFormatting sqref="A8:I76 I78">
    <cfRule type="expression" dxfId="89" priority="7" stopIfTrue="1">
      <formula>$A8&lt;&gt;""</formula>
    </cfRule>
  </conditionalFormatting>
  <conditionalFormatting sqref="B78:H2888">
    <cfRule type="expression" dxfId="88" priority="3" stopIfTrue="1">
      <formula>$A78&lt;&gt;""</formula>
    </cfRule>
  </conditionalFormatting>
  <conditionalFormatting sqref="D2886:D2913">
    <cfRule type="expression" dxfId="87"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71" t="s">
        <v>311</v>
      </c>
      <c r="B1" s="372"/>
      <c r="C1" s="174">
        <v>46022</v>
      </c>
      <c r="D1" s="26"/>
      <c r="G1" s="252">
        <v>45688</v>
      </c>
    </row>
    <row r="2" spans="1:7" ht="15" x14ac:dyDescent="0.25">
      <c r="A2" s="28"/>
      <c r="B2" s="28"/>
      <c r="G2" s="252">
        <v>45716</v>
      </c>
    </row>
    <row r="3" spans="1:7" ht="14.25" x14ac:dyDescent="0.2">
      <c r="A3" s="30" t="s">
        <v>312</v>
      </c>
      <c r="B3" s="369" t="str">
        <f>INDEX(Adr!B:B,Doklady!B102+1)</f>
        <v>Slovenská rugbyová únia</v>
      </c>
      <c r="C3" s="369"/>
      <c r="D3" s="369"/>
      <c r="G3" s="252">
        <v>45747</v>
      </c>
    </row>
    <row r="4" spans="1:7" ht="14.25" x14ac:dyDescent="0.2">
      <c r="A4" s="30" t="s">
        <v>313</v>
      </c>
      <c r="B4" s="29" t="str">
        <f>RIGHT("0000"&amp;INDEX(Adr!A:A,Doklady!B102+1),8)</f>
        <v>30851459</v>
      </c>
      <c r="G4" s="252">
        <v>45777</v>
      </c>
    </row>
    <row r="5" spans="1:7" ht="14.25" x14ac:dyDescent="0.2">
      <c r="A5" s="30" t="s">
        <v>314</v>
      </c>
      <c r="B5" s="29" t="str">
        <f>INDEX(Adr!D:D,Doklady!B102+1)&amp;", "&amp;INDEX(Adr!E:E,Doklady!B102+1)</f>
        <v>Hrobákova 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v>42610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42610</v>
      </c>
      <c r="G15" s="252"/>
    </row>
    <row r="16" spans="1:7" ht="14.25" x14ac:dyDescent="0.2">
      <c r="G16" s="252"/>
    </row>
    <row r="17" spans="1:5" ht="72" customHeight="1" x14ac:dyDescent="0.2">
      <c r="A17" s="370" t="s">
        <v>328</v>
      </c>
      <c r="B17" s="370"/>
      <c r="C17" s="370"/>
      <c r="D17" s="370"/>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79"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34" t="s">
        <v>329</v>
      </c>
      <c r="B1" s="334"/>
      <c r="C1" s="334"/>
      <c r="D1" s="334"/>
      <c r="E1" s="334"/>
      <c r="F1" s="334"/>
      <c r="G1" s="334"/>
      <c r="H1" s="334"/>
      <c r="I1" s="334"/>
    </row>
    <row r="2" spans="1:26" ht="7.5" customHeight="1" x14ac:dyDescent="0.2">
      <c r="C2" s="8"/>
      <c r="D2" s="8"/>
      <c r="E2" s="8"/>
      <c r="F2" s="8"/>
      <c r="G2" s="8"/>
      <c r="H2" s="8"/>
      <c r="I2" s="8"/>
    </row>
    <row r="3" spans="1:26" s="9" customFormat="1" ht="26.1" customHeight="1" x14ac:dyDescent="0.2">
      <c r="B3" s="160" t="s">
        <v>59</v>
      </c>
      <c r="C3" s="335" t="str">
        <f>INDEX(Adr!B2:B244,Doklady!B102)</f>
        <v>Slovenská rugbyová únia</v>
      </c>
      <c r="D3" s="335"/>
      <c r="E3" s="335"/>
      <c r="F3" s="335"/>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30851459</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Hrobákova 1, Bratislava, 851 02</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36" t="s">
        <v>334</v>
      </c>
      <c r="F9" s="337"/>
      <c r="J9" s="8"/>
      <c r="L9" s="118"/>
      <c r="M9" s="118"/>
      <c r="N9" s="118"/>
      <c r="O9" s="118"/>
      <c r="P9" s="118"/>
      <c r="Q9" s="118"/>
      <c r="R9" s="118"/>
      <c r="S9" s="118"/>
    </row>
    <row r="10" spans="1:26" ht="18" x14ac:dyDescent="0.25">
      <c r="A10" s="69" t="s">
        <v>317</v>
      </c>
      <c r="B10" s="70" t="s">
        <v>318</v>
      </c>
      <c r="C10" s="126">
        <f>SUMIF(FP!J:J,Doklady!$B$1&amp;A10,FP!D:D)</f>
        <v>0</v>
      </c>
      <c r="D10" s="126">
        <f>C10-E10</f>
        <v>0</v>
      </c>
      <c r="E10" s="327">
        <f>SUMIF(K:K,A10,I:I)</f>
        <v>0</v>
      </c>
      <c r="F10" s="328"/>
      <c r="L10" s="120" t="s">
        <v>335</v>
      </c>
      <c r="M10" s="118"/>
      <c r="N10" s="118"/>
      <c r="O10" s="118"/>
      <c r="P10" s="118"/>
      <c r="Q10" s="118"/>
      <c r="R10" s="118"/>
      <c r="S10" s="118"/>
    </row>
    <row r="11" spans="1:26" ht="18" x14ac:dyDescent="0.25">
      <c r="A11" s="69" t="s">
        <v>319</v>
      </c>
      <c r="B11" s="70" t="s">
        <v>320</v>
      </c>
      <c r="C11" s="126">
        <f>SUMIF(FP!J:J,Doklady!$B$1&amp;A11,FP!D:D)</f>
        <v>23402</v>
      </c>
      <c r="D11" s="126">
        <f>+C11-E11</f>
        <v>23402</v>
      </c>
      <c r="E11" s="338">
        <f>+I39-I42+I44-I47</f>
        <v>0</v>
      </c>
      <c r="F11" s="339"/>
      <c r="J11" s="176"/>
      <c r="L11" s="161" t="str">
        <f>L41</f>
        <v>a - rugby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27">
        <f>SUMIF(K:K,A12,I:I)</f>
        <v>0</v>
      </c>
      <c r="F12" s="328"/>
      <c r="J12" s="177"/>
      <c r="L12" s="161" t="str">
        <f>L42</f>
        <v>a - rugby - kapitálové transfery</v>
      </c>
      <c r="N12" s="118"/>
      <c r="O12" s="118"/>
      <c r="P12" s="118"/>
      <c r="Q12" s="118"/>
      <c r="R12" s="118"/>
      <c r="S12" s="118"/>
    </row>
    <row r="13" spans="1:26" ht="18" x14ac:dyDescent="0.25">
      <c r="A13" s="69" t="s">
        <v>323</v>
      </c>
      <c r="B13" s="70" t="s">
        <v>324</v>
      </c>
      <c r="C13" s="126">
        <f>SUMIF(FP!J:J,Doklady!$B$1&amp;A13,FP!D:D)</f>
        <v>0</v>
      </c>
      <c r="D13" s="126">
        <f>C13-E13</f>
        <v>0</v>
      </c>
      <c r="E13" s="327">
        <f>SUMIF(K:K,A13,I:I)</f>
        <v>0</v>
      </c>
      <c r="F13" s="32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0">
        <f>SUMIF(K:K,A14,I:I)</f>
        <v>0</v>
      </c>
      <c r="F14" s="341"/>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7" t="s">
        <v>337</v>
      </c>
      <c r="C16" s="348"/>
      <c r="D16" s="348"/>
      <c r="E16" s="348"/>
      <c r="F16" s="348"/>
      <c r="G16" s="348"/>
      <c r="H16" s="34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2" t="s">
        <v>340</v>
      </c>
      <c r="C17" s="342"/>
      <c r="D17" s="342"/>
      <c r="E17" s="342"/>
      <c r="F17" s="342"/>
      <c r="G17" s="342"/>
      <c r="H17" s="342"/>
      <c r="I17" s="73">
        <f>SUMIF(FP!I:I,Doklady!$B$1&amp;A17,FP!D:D)</f>
        <v>23402</v>
      </c>
      <c r="T17" s="86"/>
    </row>
    <row r="18" spans="1:20" x14ac:dyDescent="0.2">
      <c r="A18" s="135" t="s">
        <v>341</v>
      </c>
      <c r="B18" s="342" t="s">
        <v>342</v>
      </c>
      <c r="C18" s="342"/>
      <c r="D18" s="342"/>
      <c r="E18" s="342"/>
      <c r="F18" s="342"/>
      <c r="G18" s="342"/>
      <c r="H18" s="342"/>
      <c r="I18" s="73">
        <f>SUMIF(FP!I:I,Doklady!$B$1&amp;A18,FP!D:D)</f>
        <v>0</v>
      </c>
    </row>
    <row r="19" spans="1:20" x14ac:dyDescent="0.2">
      <c r="A19" s="115" t="s">
        <v>343</v>
      </c>
      <c r="B19" s="342" t="s">
        <v>344</v>
      </c>
      <c r="C19" s="342"/>
      <c r="D19" s="342"/>
      <c r="E19" s="342"/>
      <c r="F19" s="342"/>
      <c r="G19" s="342"/>
      <c r="H19" s="342"/>
      <c r="I19" s="73">
        <f>SUMIF(FP!I:I,Doklady!$B$1&amp;A19,FP!D:D)</f>
        <v>0</v>
      </c>
    </row>
    <row r="20" spans="1:20" x14ac:dyDescent="0.2">
      <c r="A20" s="135" t="s">
        <v>345</v>
      </c>
      <c r="B20" s="331" t="s">
        <v>346</v>
      </c>
      <c r="C20" s="332"/>
      <c r="D20" s="332"/>
      <c r="E20" s="332"/>
      <c r="F20" s="332"/>
      <c r="G20" s="332"/>
      <c r="H20" s="333"/>
      <c r="I20" s="73">
        <f>SUMIF(FP!I:I,Doklady!$B$1&amp;A20,FP!D:D)</f>
        <v>0</v>
      </c>
      <c r="T20" s="86"/>
    </row>
    <row r="21" spans="1:20" x14ac:dyDescent="0.2">
      <c r="A21" s="115" t="s">
        <v>347</v>
      </c>
      <c r="B21" s="331" t="s">
        <v>348</v>
      </c>
      <c r="C21" s="332"/>
      <c r="D21" s="332"/>
      <c r="E21" s="332"/>
      <c r="F21" s="332"/>
      <c r="G21" s="332"/>
      <c r="H21" s="333"/>
      <c r="I21" s="73">
        <f>SUMIF(FP!I:I,Doklady!$B$1&amp;A21,FP!D:D)</f>
        <v>0</v>
      </c>
      <c r="T21" s="86"/>
    </row>
    <row r="22" spans="1:20" x14ac:dyDescent="0.2">
      <c r="A22" s="135" t="s">
        <v>349</v>
      </c>
      <c r="B22" s="350" t="s">
        <v>350</v>
      </c>
      <c r="C22" s="351"/>
      <c r="D22" s="351"/>
      <c r="E22" s="351"/>
      <c r="F22" s="351"/>
      <c r="G22" s="351"/>
      <c r="H22" s="352"/>
      <c r="I22" s="73">
        <f>SUMIF(FP!I:I,Doklady!$B$1&amp;A22,FP!D:D)</f>
        <v>0</v>
      </c>
      <c r="T22" s="86"/>
    </row>
    <row r="23" spans="1:20" x14ac:dyDescent="0.2">
      <c r="A23" s="115" t="s">
        <v>351</v>
      </c>
      <c r="B23" s="331" t="s">
        <v>352</v>
      </c>
      <c r="C23" s="332"/>
      <c r="D23" s="332"/>
      <c r="E23" s="332"/>
      <c r="F23" s="332"/>
      <c r="G23" s="332"/>
      <c r="H23" s="333"/>
      <c r="I23" s="73">
        <f>SUMIF(FP!I:I,Doklady!$B$1&amp;A23,FP!D:D)</f>
        <v>0</v>
      </c>
      <c r="T23" s="86"/>
    </row>
    <row r="24" spans="1:20" x14ac:dyDescent="0.2">
      <c r="A24" s="135" t="s">
        <v>353</v>
      </c>
      <c r="B24" s="331" t="s">
        <v>354</v>
      </c>
      <c r="C24" s="332"/>
      <c r="D24" s="332"/>
      <c r="E24" s="332"/>
      <c r="F24" s="332"/>
      <c r="G24" s="332"/>
      <c r="H24" s="333"/>
      <c r="I24" s="73">
        <f>SUMIF(FP!I:I,Doklady!$B$1&amp;A24,FP!D:D)</f>
        <v>0</v>
      </c>
      <c r="T24" s="86"/>
    </row>
    <row r="25" spans="1:20" x14ac:dyDescent="0.2">
      <c r="A25" s="115" t="s">
        <v>355</v>
      </c>
      <c r="B25" s="343" t="s">
        <v>2235</v>
      </c>
      <c r="C25" s="344"/>
      <c r="D25" s="344"/>
      <c r="E25" s="344"/>
      <c r="F25" s="344"/>
      <c r="G25" s="344"/>
      <c r="H25" s="345"/>
      <c r="I25" s="73">
        <f>SUMIF(FP!I:I,Doklady!$B$1&amp;A25,FP!D:D)</f>
        <v>0</v>
      </c>
      <c r="T25" s="86"/>
    </row>
    <row r="26" spans="1:20" x14ac:dyDescent="0.2">
      <c r="A26" s="135" t="s">
        <v>356</v>
      </c>
      <c r="B26" s="331" t="s">
        <v>357</v>
      </c>
      <c r="C26" s="332"/>
      <c r="D26" s="332"/>
      <c r="E26" s="332"/>
      <c r="F26" s="332"/>
      <c r="G26" s="332"/>
      <c r="H26" s="333"/>
      <c r="I26" s="73">
        <f>SUMIF(FP!I:I,Doklady!$B$1&amp;A26,FP!D:D)</f>
        <v>0</v>
      </c>
      <c r="T26" s="86"/>
    </row>
    <row r="27" spans="1:20" x14ac:dyDescent="0.2">
      <c r="A27" s="115" t="s">
        <v>358</v>
      </c>
      <c r="B27" s="331" t="s">
        <v>359</v>
      </c>
      <c r="C27" s="332"/>
      <c r="D27" s="332"/>
      <c r="E27" s="332"/>
      <c r="F27" s="332"/>
      <c r="G27" s="332"/>
      <c r="H27" s="333"/>
      <c r="I27" s="73">
        <f>SUMIF(FP!I:I,Doklady!$B$1&amp;A27,FP!D:D)</f>
        <v>0</v>
      </c>
      <c r="T27" s="86"/>
    </row>
    <row r="28" spans="1:20" x14ac:dyDescent="0.2">
      <c r="A28" s="135" t="s">
        <v>360</v>
      </c>
      <c r="B28" s="331" t="s">
        <v>2989</v>
      </c>
      <c r="C28" s="332"/>
      <c r="D28" s="332"/>
      <c r="E28" s="332"/>
      <c r="F28" s="332"/>
      <c r="G28" s="332"/>
      <c r="H28" s="333"/>
      <c r="I28" s="73">
        <f>SUMIF(FP!I:I,Doklady!$B$1&amp;A28,FP!D:D)</f>
        <v>0</v>
      </c>
      <c r="T28" s="86"/>
    </row>
    <row r="29" spans="1:20" x14ac:dyDescent="0.2">
      <c r="A29" s="115" t="s">
        <v>362</v>
      </c>
      <c r="B29" s="331" t="s">
        <v>363</v>
      </c>
      <c r="C29" s="332"/>
      <c r="D29" s="332"/>
      <c r="E29" s="332"/>
      <c r="F29" s="332"/>
      <c r="G29" s="332"/>
      <c r="H29" s="333"/>
      <c r="I29" s="73">
        <f>SUMIF(FP!I:I,Doklady!$B$1&amp;A29,FP!D:D)</f>
        <v>0</v>
      </c>
      <c r="T29" s="86"/>
    </row>
    <row r="30" spans="1:20" hidden="1" x14ac:dyDescent="0.2">
      <c r="A30" s="135" t="s">
        <v>364</v>
      </c>
      <c r="B30" s="331"/>
      <c r="C30" s="332"/>
      <c r="D30" s="332"/>
      <c r="E30" s="332"/>
      <c r="F30" s="332"/>
      <c r="G30" s="332"/>
      <c r="H30" s="333"/>
      <c r="I30" s="73">
        <f>SUMIF(FP!I:I,Doklady!$B$1&amp;A30,FP!D:D)</f>
        <v>0</v>
      </c>
      <c r="T30" s="86"/>
    </row>
    <row r="31" spans="1:20" hidden="1" x14ac:dyDescent="0.2">
      <c r="A31" s="115" t="s">
        <v>365</v>
      </c>
      <c r="B31" s="331"/>
      <c r="C31" s="332"/>
      <c r="D31" s="332"/>
      <c r="E31" s="332"/>
      <c r="F31" s="332"/>
      <c r="G31" s="332"/>
      <c r="H31" s="333"/>
      <c r="I31" s="73">
        <f>SUMIF(FP!I:I,Doklady!$B$1&amp;A31,FP!D:D)</f>
        <v>0</v>
      </c>
      <c r="T31" s="86"/>
    </row>
    <row r="32" spans="1:20" hidden="1" x14ac:dyDescent="0.2">
      <c r="A32" s="135" t="s">
        <v>366</v>
      </c>
      <c r="B32" s="353"/>
      <c r="C32" s="354"/>
      <c r="D32" s="354"/>
      <c r="E32" s="354"/>
      <c r="F32" s="354"/>
      <c r="G32" s="354"/>
      <c r="H32" s="355"/>
      <c r="I32" s="73">
        <f>SUMIF(FP!I:I,Doklady!$B$1&amp;A32,FP!D:D)</f>
        <v>0</v>
      </c>
      <c r="T32" s="86"/>
    </row>
    <row r="33" spans="1:21" hidden="1" x14ac:dyDescent="0.2">
      <c r="A33" s="115" t="s">
        <v>367</v>
      </c>
      <c r="B33" s="353"/>
      <c r="C33" s="354"/>
      <c r="D33" s="354"/>
      <c r="E33" s="354"/>
      <c r="F33" s="354"/>
      <c r="G33" s="354"/>
      <c r="H33" s="355"/>
      <c r="I33" s="73">
        <f>SUMIF(FP!I:I,Doklady!$B$1&amp;A33,FP!D:D)</f>
        <v>0</v>
      </c>
      <c r="T33" s="86"/>
    </row>
    <row r="34" spans="1:21" hidden="1" x14ac:dyDescent="0.2">
      <c r="A34" s="135" t="s">
        <v>368</v>
      </c>
      <c r="B34" s="356"/>
      <c r="C34" s="356"/>
      <c r="D34" s="356"/>
      <c r="E34" s="356"/>
      <c r="F34" s="356"/>
      <c r="G34" s="356"/>
      <c r="H34" s="356"/>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rugby</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4680.4000000000005</v>
      </c>
      <c r="D39" s="78">
        <f>I39*0.2</f>
        <v>4680.4000000000005</v>
      </c>
      <c r="E39" s="78">
        <f>I39*0.25</f>
        <v>5850.5</v>
      </c>
      <c r="F39" s="78">
        <f>+I39*0.15</f>
        <v>3510.2999999999997</v>
      </c>
      <c r="G39" s="78">
        <f>+MAX(I39-C39-D39-E39-F39-H39,0)</f>
        <v>4680.3999999999978</v>
      </c>
      <c r="H39" s="78">
        <f>+IFERROR(VLOOKUP(K40&amp;" - kapitálové transfery",B$53:C$90,2,0),0)</f>
        <v>0</v>
      </c>
      <c r="I39" s="73">
        <f>SUMIF(FP!K:K,K40,FP!D:D)</f>
        <v>23402</v>
      </c>
      <c r="L39" s="84">
        <f>COUNTIF(FP!N:N,Doklady!B1&amp;"aK")</f>
        <v>0</v>
      </c>
      <c r="T39" s="86"/>
    </row>
    <row r="40" spans="1:21" x14ac:dyDescent="0.2">
      <c r="A40" s="115" t="s">
        <v>339</v>
      </c>
      <c r="B40" s="116" t="s">
        <v>373</v>
      </c>
      <c r="C40" s="78">
        <f>DSUM(Doklady!A103:J10000,"GGG",Spolu!L40:M42)</f>
        <v>6501</v>
      </c>
      <c r="D40" s="78">
        <f>DSUM(Doklady!A103:J10000,"GGG",Spolu!N40:O42)</f>
        <v>5817.88</v>
      </c>
      <c r="E40" s="78">
        <f>DSUM(Doklady!A103:J10000,"GGG",Spolu!P40:Q42)</f>
        <v>10932.5</v>
      </c>
      <c r="F40" s="78">
        <f>DSUM(Doklady!A103:J10000,"GGG",Spolu!R40:S42)</f>
        <v>150.61999999999998</v>
      </c>
      <c r="G40" s="78">
        <f>DSUM(Doklady!A103:J10000,"GGG",Spolu!T40:U42)-H40</f>
        <v>0</v>
      </c>
      <c r="H40" s="78">
        <f>+IFERROR(VLOOKUP(K40&amp;" - kapitálové transfery",B$53:D$90,3,0),0)</f>
        <v>0</v>
      </c>
      <c r="I40" s="73">
        <f>+C40+D40+E40+F40+G40+H40</f>
        <v>23402</v>
      </c>
      <c r="J40" s="218" t="str">
        <f>+K45</f>
        <v>.</v>
      </c>
      <c r="K40" s="218" t="str">
        <f>IF(L38&gt;0,INDEX(FP!K:K,Doklady!B2),".")</f>
        <v>rugby</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rugby - bežné transfery</v>
      </c>
      <c r="M41" s="120">
        <v>1</v>
      </c>
      <c r="N41" s="161" t="str">
        <f>+L41</f>
        <v>a - rugby - bežné transfery</v>
      </c>
      <c r="O41" s="120">
        <v>2</v>
      </c>
      <c r="P41" s="161" t="str">
        <f>+L41</f>
        <v>a - rugby - bežné transfery</v>
      </c>
      <c r="Q41" s="120">
        <v>3</v>
      </c>
      <c r="R41" s="161" t="str">
        <f>+L41</f>
        <v>a - rugby - bežné transfery</v>
      </c>
      <c r="S41" s="120">
        <v>4</v>
      </c>
      <c r="T41" s="161" t="str">
        <f>+L41</f>
        <v>a - rugby - bežné transfery</v>
      </c>
      <c r="U41" s="120">
        <v>5</v>
      </c>
    </row>
    <row r="42" spans="1:21" ht="10.5" customHeight="1" x14ac:dyDescent="0.2">
      <c r="A42" s="115" t="s">
        <v>339</v>
      </c>
      <c r="B42" s="116" t="s">
        <v>376</v>
      </c>
      <c r="C42" s="73">
        <f>+C40</f>
        <v>6501</v>
      </c>
      <c r="D42" s="216">
        <f>+D40</f>
        <v>5817.88</v>
      </c>
      <c r="E42" s="216">
        <f>+E40</f>
        <v>10932.5</v>
      </c>
      <c r="F42" s="216">
        <f>+MIN(F39:F40)</f>
        <v>150.61999999999998</v>
      </c>
      <c r="G42" s="216">
        <f>+MIN(G39+MAX(F39-F40,0)-MAX(E40-E39,0)-MAX(D40-D39,0)-MAX(C40-C39,0),G40)</f>
        <v>-9.0949470177292824E-13</v>
      </c>
      <c r="H42" s="216">
        <f>+MIN(H39:H40)</f>
        <v>0</v>
      </c>
      <c r="I42" s="73">
        <f>+C42+D42+E42+MIN(F39:F40)+G42+H42</f>
        <v>23402</v>
      </c>
      <c r="J42" s="219">
        <f>+K47</f>
        <v>0</v>
      </c>
      <c r="K42" s="219">
        <f>+I42-H42</f>
        <v>23402</v>
      </c>
      <c r="L42" s="161" t="str">
        <f>+SUBSTITUTE(L41,"bežné","kapitálové")</f>
        <v>a - rugby - kapitálové transfery</v>
      </c>
      <c r="M42" s="120">
        <v>1</v>
      </c>
      <c r="N42" s="161" t="str">
        <f>+L42</f>
        <v>a - rugby - kapitálové transfery</v>
      </c>
      <c r="O42" s="120">
        <v>2</v>
      </c>
      <c r="P42" s="161" t="str">
        <f>+L42</f>
        <v>a - rugby - kapitálové transfery</v>
      </c>
      <c r="Q42" s="120">
        <v>3</v>
      </c>
      <c r="R42" s="161" t="str">
        <f>+L42</f>
        <v>a - rugby - kapitálové transfery</v>
      </c>
      <c r="S42" s="120">
        <v>4</v>
      </c>
      <c r="T42" s="161" t="str">
        <f>+L42</f>
        <v>a - rugby - kapitálové transfery</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29"/>
      <c r="B50" s="330"/>
      <c r="C50" s="330"/>
      <c r="D50" s="330"/>
      <c r="E50" s="330"/>
      <c r="F50" s="330"/>
      <c r="G50" s="330"/>
      <c r="H50" s="330"/>
      <c r="I50" s="33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rugby - bežné transfery</v>
      </c>
      <c r="C53" s="73">
        <f>IF(A53&lt;&gt;"",INDEX(FP!D:D,Doklady!B$2+(ROW()-53)),"")</f>
        <v>23402</v>
      </c>
      <c r="D53" s="73">
        <f>IF(A53&lt;&gt;"",Doklady!I1-Doklady!J1,"")</f>
        <v>23402</v>
      </c>
      <c r="E53" s="73">
        <f>IF(A53&lt;&gt;"",MIN(D53,C53)*Doklady!C1/(1-Doklady!C1),"")</f>
        <v>0</v>
      </c>
      <c r="F53" s="71">
        <f>IF(A53&lt;&gt;"",Doklady!J1,"")</f>
        <v>0</v>
      </c>
      <c r="G53" s="73">
        <f>+IFERROR(HLOOKUP(IF(RIGHT(B53,15)="bežné transfery",LEFT(B53,LEN(B53)-18),0),$J$40:$K$42,3,0),MIN(C53,D53))</f>
        <v>23402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23402</v>
      </c>
      <c r="D130" s="228">
        <f t="shared" ref="D130:I130" si="9">SUM(D53:D129)</f>
        <v>23402</v>
      </c>
      <c r="E130" s="228">
        <f t="shared" si="9"/>
        <v>0</v>
      </c>
      <c r="F130" s="228">
        <f t="shared" si="9"/>
        <v>0</v>
      </c>
      <c r="G130" s="228">
        <f t="shared" si="9"/>
        <v>23402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25">
        <v>46123</v>
      </c>
      <c r="C140" s="229"/>
      <c r="D140" s="346" t="s">
        <v>2703</v>
      </c>
      <c r="E140" s="346"/>
      <c r="F140" s="346"/>
      <c r="G140" s="346"/>
      <c r="H140" s="346"/>
      <c r="I140" s="346"/>
      <c r="J140" s="85"/>
    </row>
    <row r="141" spans="1:26" ht="68.25" customHeight="1" x14ac:dyDescent="0.2">
      <c r="A141" s="9"/>
      <c r="B141" s="280" t="s">
        <v>3096</v>
      </c>
      <c r="C141" s="214"/>
      <c r="D141" s="326" t="s">
        <v>393</v>
      </c>
      <c r="E141" s="326"/>
      <c r="F141" s="326"/>
      <c r="G141" s="326"/>
      <c r="H141" s="326"/>
      <c r="I141" s="326"/>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86" priority="43" stopIfTrue="1" operator="lessThanOrEqual">
      <formula>0</formula>
    </cfRule>
    <cfRule type="cellIs" dxfId="85" priority="44" stopIfTrue="1" operator="greaterThan">
      <formula>0</formula>
    </cfRule>
  </conditionalFormatting>
  <conditionalFormatting sqref="D53:D129">
    <cfRule type="expression" dxfId="84" priority="31" stopIfTrue="1">
      <formula>$C53=$D53</formula>
    </cfRule>
    <cfRule type="expression" dxfId="83" priority="33" stopIfTrue="1">
      <formula>$C53&lt;&gt;$D53</formula>
    </cfRule>
  </conditionalFormatting>
  <conditionalFormatting sqref="E9:F9">
    <cfRule type="expression" dxfId="82" priority="38" stopIfTrue="1">
      <formula>SUM($E$10:$F$14)&gt;0</formula>
    </cfRule>
  </conditionalFormatting>
  <conditionalFormatting sqref="G53:G129">
    <cfRule type="expression" dxfId="81" priority="13" stopIfTrue="1">
      <formula>$C53=$G53</formula>
    </cfRule>
    <cfRule type="expression" dxfId="80" priority="14" stopIfTrue="1">
      <formula>$C53&lt;&gt;$G53</formula>
    </cfRule>
  </conditionalFormatting>
  <conditionalFormatting sqref="I42">
    <cfRule type="cellIs" dxfId="79" priority="1" stopIfTrue="1" operator="greaterThan">
      <formula>0</formula>
    </cfRule>
  </conditionalFormatting>
  <conditionalFormatting sqref="I47">
    <cfRule type="cellIs" dxfId="78" priority="15" stopIfTrue="1" operator="greaterThan">
      <formula>0</formula>
    </cfRule>
  </conditionalFormatting>
  <conditionalFormatting sqref="I53:I129">
    <cfRule type="cellIs" dxfId="77" priority="40" stopIfTrue="1" operator="equal">
      <formula>0</formula>
    </cfRule>
    <cfRule type="cellIs" dxfId="7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6" zoomScaleNormal="100" workbookViewId="0">
      <selection activeCell="I134" sqref="I13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rugby - bežné transfery</v>
      </c>
      <c r="B1" s="232" t="str">
        <f>INDEX(Adr!A:A,B102+1)</f>
        <v>30851459</v>
      </c>
      <c r="C1" s="233">
        <f>IF(ROW()&lt;=B$3,INDEX(FP!E:E,B$2+ROW()-1),"")</f>
        <v>0</v>
      </c>
      <c r="D1" s="234" t="str">
        <f>IF(ROW()&lt;=B$3,INDEX(FP!F:F,B$2+ROW()-1),"")</f>
        <v>a</v>
      </c>
      <c r="E1" s="234"/>
      <c r="F1" s="234" t="str">
        <f>IF(ROW()&lt;=B$3,INDEX(FP!G:G,B$2+ROW()-1),"")</f>
        <v>026 02</v>
      </c>
      <c r="G1" s="234"/>
      <c r="H1" s="235" t="str">
        <f>IF(ROW()&lt;=B$3,INDEX(FP!C:C,B$2+ROW()-1),"")</f>
        <v>rugby - bežné transfery</v>
      </c>
      <c r="I1" s="236">
        <f t="shared" ref="I1:I32" si="0">IF(ROW()&lt;=B$3,SUMIF(A$107:A$10042,A1,I$107:I$10042),"")</f>
        <v>23402</v>
      </c>
      <c r="J1" s="236">
        <f t="shared" ref="J1:J32" si="1">IF(ROW()&lt;=B$3,SUMIFS(I$103:I$50042,A$103:A$50042,K1,J$103:J$50042,L1),"")</f>
        <v>0</v>
      </c>
      <c r="K1" s="110" t="str">
        <f>$A1</f>
        <v>a - rugby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217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121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2996</v>
      </c>
      <c r="B107" s="14" t="s">
        <v>3052</v>
      </c>
      <c r="C107" s="14"/>
      <c r="D107" s="16">
        <v>45709</v>
      </c>
      <c r="E107" s="16"/>
      <c r="F107" s="14" t="s">
        <v>3049</v>
      </c>
      <c r="G107" s="14" t="s">
        <v>3007</v>
      </c>
      <c r="H107" s="14" t="s">
        <v>3027</v>
      </c>
      <c r="I107" s="15">
        <v>104</v>
      </c>
      <c r="J107" s="77">
        <v>2</v>
      </c>
      <c r="K107" s="92"/>
    </row>
    <row r="108" spans="1:25" ht="12.75" x14ac:dyDescent="0.2">
      <c r="A108" s="14" t="s">
        <v>2996</v>
      </c>
      <c r="B108" s="14" t="s">
        <v>3053</v>
      </c>
      <c r="C108" s="14"/>
      <c r="D108" s="16">
        <v>45709</v>
      </c>
      <c r="E108" s="16"/>
      <c r="F108" s="14" t="s">
        <v>3049</v>
      </c>
      <c r="G108" s="14" t="s">
        <v>3007</v>
      </c>
      <c r="H108" s="14" t="s">
        <v>3050</v>
      </c>
      <c r="I108" s="15">
        <v>86</v>
      </c>
      <c r="J108" s="77">
        <v>2</v>
      </c>
      <c r="K108" s="92"/>
    </row>
    <row r="109" spans="1:25" ht="12.75" x14ac:dyDescent="0.2">
      <c r="A109" s="14" t="s">
        <v>2996</v>
      </c>
      <c r="B109" s="14" t="s">
        <v>3054</v>
      </c>
      <c r="C109" s="14"/>
      <c r="D109" s="16">
        <v>45720</v>
      </c>
      <c r="E109" s="16"/>
      <c r="F109" s="14" t="s">
        <v>3049</v>
      </c>
      <c r="G109" s="14" t="s">
        <v>3007</v>
      </c>
      <c r="H109" s="14" t="s">
        <v>3008</v>
      </c>
      <c r="I109" s="15">
        <v>70</v>
      </c>
      <c r="J109" s="77">
        <v>2</v>
      </c>
      <c r="K109" s="92"/>
    </row>
    <row r="110" spans="1:25" ht="22.5" x14ac:dyDescent="0.2">
      <c r="A110" s="14" t="s">
        <v>2996</v>
      </c>
      <c r="B110" s="14" t="s">
        <v>3055</v>
      </c>
      <c r="C110" s="14"/>
      <c r="D110" s="16">
        <v>45722</v>
      </c>
      <c r="E110" s="16"/>
      <c r="F110" s="14" t="s">
        <v>3051</v>
      </c>
      <c r="G110" s="14" t="s">
        <v>3007</v>
      </c>
      <c r="H110" s="14" t="s">
        <v>3027</v>
      </c>
      <c r="I110" s="15">
        <v>80.069999999999993</v>
      </c>
      <c r="J110" s="77">
        <v>2</v>
      </c>
      <c r="K110" s="92"/>
    </row>
    <row r="111" spans="1:25" ht="22.5" x14ac:dyDescent="0.2">
      <c r="A111" s="14" t="s">
        <v>2996</v>
      </c>
      <c r="B111" s="14" t="s">
        <v>3059</v>
      </c>
      <c r="C111" s="14" t="s">
        <v>3058</v>
      </c>
      <c r="D111" s="16">
        <v>45805</v>
      </c>
      <c r="E111" s="16"/>
      <c r="F111" s="14" t="s">
        <v>2998</v>
      </c>
      <c r="G111" s="14"/>
      <c r="H111" s="14" t="s">
        <v>2997</v>
      </c>
      <c r="I111" s="15">
        <v>200</v>
      </c>
      <c r="J111" s="77">
        <v>2</v>
      </c>
      <c r="K111" s="92"/>
    </row>
    <row r="112" spans="1:25" ht="12.75" x14ac:dyDescent="0.2">
      <c r="A112" s="14" t="s">
        <v>2996</v>
      </c>
      <c r="B112" s="14" t="s">
        <v>3056</v>
      </c>
      <c r="C112" s="14" t="s">
        <v>3057</v>
      </c>
      <c r="D112" s="16">
        <v>45807</v>
      </c>
      <c r="E112" s="16"/>
      <c r="F112" s="14" t="s">
        <v>2999</v>
      </c>
      <c r="G112" s="14"/>
      <c r="H112" s="14" t="s">
        <v>3000</v>
      </c>
      <c r="I112" s="15">
        <v>490</v>
      </c>
      <c r="J112" s="77">
        <v>3</v>
      </c>
      <c r="K112" s="92"/>
    </row>
    <row r="113" spans="1:11" ht="12.75" x14ac:dyDescent="0.2">
      <c r="A113" s="14" t="s">
        <v>2996</v>
      </c>
      <c r="B113" s="14"/>
      <c r="C113" s="14"/>
      <c r="D113" s="16">
        <v>45826</v>
      </c>
      <c r="E113" s="16"/>
      <c r="F113" s="14" t="s">
        <v>3001</v>
      </c>
      <c r="G113" s="14" t="s">
        <v>3002</v>
      </c>
      <c r="H113" s="14" t="s">
        <v>3003</v>
      </c>
      <c r="I113" s="15">
        <v>20</v>
      </c>
      <c r="J113" s="77">
        <v>4</v>
      </c>
      <c r="K113" s="92"/>
    </row>
    <row r="114" spans="1:11" ht="12.75" x14ac:dyDescent="0.2">
      <c r="A114" s="14" t="s">
        <v>2996</v>
      </c>
      <c r="B114" s="14"/>
      <c r="C114" s="14"/>
      <c r="D114" s="16">
        <v>45831</v>
      </c>
      <c r="E114" s="16"/>
      <c r="F114" s="14" t="s">
        <v>3001</v>
      </c>
      <c r="G114" s="14" t="s">
        <v>3002</v>
      </c>
      <c r="H114" s="14" t="s">
        <v>3003</v>
      </c>
      <c r="I114" s="15">
        <v>20</v>
      </c>
      <c r="J114" s="77">
        <v>4</v>
      </c>
      <c r="K114" s="92"/>
    </row>
    <row r="115" spans="1:11" ht="12.75" x14ac:dyDescent="0.2">
      <c r="A115" s="14" t="s">
        <v>2996</v>
      </c>
      <c r="B115" s="14"/>
      <c r="C115" s="14"/>
      <c r="D115" s="16">
        <v>45832</v>
      </c>
      <c r="E115" s="16"/>
      <c r="F115" s="14" t="s">
        <v>3001</v>
      </c>
      <c r="G115" s="14" t="s">
        <v>3002</v>
      </c>
      <c r="H115" s="14" t="s">
        <v>3003</v>
      </c>
      <c r="I115" s="15">
        <v>20</v>
      </c>
      <c r="J115" s="77">
        <v>4</v>
      </c>
      <c r="K115" s="92"/>
    </row>
    <row r="116" spans="1:11" ht="12.75" x14ac:dyDescent="0.2">
      <c r="A116" s="14" t="s">
        <v>2996</v>
      </c>
      <c r="B116" s="14" t="s">
        <v>3061</v>
      </c>
      <c r="C116" s="14" t="s">
        <v>3060</v>
      </c>
      <c r="D116" s="16">
        <v>45832</v>
      </c>
      <c r="E116" s="16"/>
      <c r="F116" s="14" t="s">
        <v>3004</v>
      </c>
      <c r="G116" s="14"/>
      <c r="H116" s="14" t="s">
        <v>3005</v>
      </c>
      <c r="I116" s="15">
        <v>3000</v>
      </c>
      <c r="J116" s="77">
        <v>3</v>
      </c>
      <c r="K116" s="92"/>
    </row>
    <row r="117" spans="1:11" ht="12.75" x14ac:dyDescent="0.2">
      <c r="A117" s="14" t="s">
        <v>2996</v>
      </c>
      <c r="B117" s="14" t="s">
        <v>3061</v>
      </c>
      <c r="C117" s="14"/>
      <c r="D117" s="16">
        <v>45832</v>
      </c>
      <c r="E117" s="16"/>
      <c r="F117" s="14" t="s">
        <v>3004</v>
      </c>
      <c r="G117" s="14"/>
      <c r="H117" s="14" t="s">
        <v>3005</v>
      </c>
      <c r="I117" s="15">
        <v>3720</v>
      </c>
      <c r="J117" s="77">
        <v>3</v>
      </c>
      <c r="K117" s="92"/>
    </row>
    <row r="118" spans="1:11" ht="22.5" x14ac:dyDescent="0.2">
      <c r="A118" s="14" t="s">
        <v>2996</v>
      </c>
      <c r="B118" s="14" t="s">
        <v>3062</v>
      </c>
      <c r="C118" s="14"/>
      <c r="D118" s="16">
        <v>45838</v>
      </c>
      <c r="E118" s="16"/>
      <c r="F118" s="14" t="s">
        <v>3006</v>
      </c>
      <c r="G118" s="14" t="s">
        <v>3007</v>
      </c>
      <c r="H118" s="14" t="s">
        <v>3008</v>
      </c>
      <c r="I118" s="15">
        <v>400</v>
      </c>
      <c r="J118" s="77">
        <v>2</v>
      </c>
      <c r="K118" s="92"/>
    </row>
    <row r="119" spans="1:11" ht="12.75" x14ac:dyDescent="0.2">
      <c r="A119" s="14" t="s">
        <v>2996</v>
      </c>
      <c r="B119" s="14" t="s">
        <v>3063</v>
      </c>
      <c r="C119" s="14"/>
      <c r="D119" s="16">
        <v>45812</v>
      </c>
      <c r="E119" s="16"/>
      <c r="F119" s="14" t="s">
        <v>3009</v>
      </c>
      <c r="G119" s="14" t="s">
        <v>3013</v>
      </c>
      <c r="H119" s="14" t="s">
        <v>3010</v>
      </c>
      <c r="I119" s="15">
        <v>345</v>
      </c>
      <c r="J119" s="77">
        <v>3</v>
      </c>
      <c r="K119" s="92"/>
    </row>
    <row r="120" spans="1:11" ht="12.75" x14ac:dyDescent="0.2">
      <c r="A120" s="14" t="s">
        <v>2996</v>
      </c>
      <c r="B120" s="14" t="s">
        <v>3064</v>
      </c>
      <c r="C120" s="14"/>
      <c r="D120" s="16">
        <v>45812</v>
      </c>
      <c r="E120" s="16"/>
      <c r="F120" s="14" t="s">
        <v>3009</v>
      </c>
      <c r="G120" s="14" t="s">
        <v>3013</v>
      </c>
      <c r="H120" s="14" t="s">
        <v>3010</v>
      </c>
      <c r="I120" s="15">
        <v>395</v>
      </c>
      <c r="J120" s="77">
        <v>3</v>
      </c>
      <c r="K120" s="92"/>
    </row>
    <row r="121" spans="1:11" ht="12.75" x14ac:dyDescent="0.2">
      <c r="A121" s="14" t="s">
        <v>2996</v>
      </c>
      <c r="B121" s="14" t="s">
        <v>3065</v>
      </c>
      <c r="C121" s="14" t="s">
        <v>3066</v>
      </c>
      <c r="D121" s="16">
        <v>45825</v>
      </c>
      <c r="E121" s="16"/>
      <c r="F121" s="14" t="s">
        <v>3011</v>
      </c>
      <c r="G121" s="14" t="s">
        <v>3014</v>
      </c>
      <c r="H121" s="14" t="s">
        <v>3012</v>
      </c>
      <c r="I121" s="15">
        <v>415</v>
      </c>
      <c r="J121" s="77">
        <v>3</v>
      </c>
      <c r="K121" s="92"/>
    </row>
    <row r="122" spans="1:11" ht="12.75" x14ac:dyDescent="0.2">
      <c r="A122" s="14" t="s">
        <v>2996</v>
      </c>
      <c r="B122" s="14" t="s">
        <v>3067</v>
      </c>
      <c r="C122" s="14" t="s">
        <v>3068</v>
      </c>
      <c r="D122" s="16">
        <v>45840</v>
      </c>
      <c r="E122" s="16"/>
      <c r="F122" s="14" t="s">
        <v>3015</v>
      </c>
      <c r="G122" s="14" t="s">
        <v>3014</v>
      </c>
      <c r="H122" s="14" t="s">
        <v>3012</v>
      </c>
      <c r="I122" s="15">
        <v>80</v>
      </c>
      <c r="J122" s="77">
        <v>3</v>
      </c>
      <c r="K122" s="92"/>
    </row>
    <row r="123" spans="1:11" ht="22.5" x14ac:dyDescent="0.2">
      <c r="A123" s="14" t="s">
        <v>2996</v>
      </c>
      <c r="B123" s="14" t="s">
        <v>3069</v>
      </c>
      <c r="C123" s="14" t="s">
        <v>3070</v>
      </c>
      <c r="D123" s="16">
        <v>45861</v>
      </c>
      <c r="E123" s="16"/>
      <c r="F123" s="14" t="s">
        <v>3016</v>
      </c>
      <c r="G123" s="14" t="s">
        <v>3018</v>
      </c>
      <c r="H123" s="14" t="s">
        <v>3017</v>
      </c>
      <c r="I123" s="15">
        <v>1770</v>
      </c>
      <c r="J123" s="77">
        <v>2</v>
      </c>
      <c r="K123" s="92"/>
    </row>
    <row r="124" spans="1:11" ht="22.5" x14ac:dyDescent="0.2">
      <c r="A124" s="14" t="s">
        <v>2996</v>
      </c>
      <c r="B124" s="14" t="s">
        <v>3071</v>
      </c>
      <c r="C124" s="14"/>
      <c r="D124" s="16">
        <v>45868</v>
      </c>
      <c r="E124" s="16"/>
      <c r="F124" s="14" t="s">
        <v>3016</v>
      </c>
      <c r="G124" s="14" t="s">
        <v>3007</v>
      </c>
      <c r="H124" s="14" t="s">
        <v>3019</v>
      </c>
      <c r="I124" s="15">
        <v>515.6</v>
      </c>
      <c r="J124" s="77">
        <v>2</v>
      </c>
      <c r="K124" s="92"/>
    </row>
    <row r="125" spans="1:11" ht="22.5" x14ac:dyDescent="0.2">
      <c r="A125" s="14" t="s">
        <v>2996</v>
      </c>
      <c r="B125" s="14" t="s">
        <v>3072</v>
      </c>
      <c r="C125" s="14"/>
      <c r="D125" s="16">
        <v>45868</v>
      </c>
      <c r="E125" s="16"/>
      <c r="F125" s="14" t="s">
        <v>3016</v>
      </c>
      <c r="G125" s="14" t="s">
        <v>3007</v>
      </c>
      <c r="H125" s="14" t="s">
        <v>3019</v>
      </c>
      <c r="I125" s="15">
        <v>833.9</v>
      </c>
      <c r="J125" s="77">
        <v>2</v>
      </c>
      <c r="K125" s="92"/>
    </row>
    <row r="126" spans="1:11" ht="12.75" x14ac:dyDescent="0.2">
      <c r="A126" s="14" t="s">
        <v>2996</v>
      </c>
      <c r="B126" s="14" t="s">
        <v>3073</v>
      </c>
      <c r="C126" s="14" t="s">
        <v>3074</v>
      </c>
      <c r="D126" s="16">
        <v>45869</v>
      </c>
      <c r="E126" s="16"/>
      <c r="F126" s="14" t="s">
        <v>3020</v>
      </c>
      <c r="G126" s="14" t="s">
        <v>3022</v>
      </c>
      <c r="H126" s="14" t="s">
        <v>3021</v>
      </c>
      <c r="I126" s="15">
        <v>20.79</v>
      </c>
      <c r="J126" s="77">
        <v>4</v>
      </c>
      <c r="K126" s="92"/>
    </row>
    <row r="127" spans="1:11" ht="33.75" x14ac:dyDescent="0.2">
      <c r="A127" s="14" t="s">
        <v>2996</v>
      </c>
      <c r="B127" s="14" t="s">
        <v>3075</v>
      </c>
      <c r="C127" s="14" t="s">
        <v>3076</v>
      </c>
      <c r="D127" s="16">
        <v>45873</v>
      </c>
      <c r="E127" s="16"/>
      <c r="F127" s="14" t="s">
        <v>3024</v>
      </c>
      <c r="G127" s="14" t="s">
        <v>3007</v>
      </c>
      <c r="H127" s="14" t="s">
        <v>3025</v>
      </c>
      <c r="I127" s="15">
        <v>145.68</v>
      </c>
      <c r="J127" s="77">
        <v>2</v>
      </c>
      <c r="K127" s="92"/>
    </row>
    <row r="128" spans="1:11" ht="12.75" x14ac:dyDescent="0.2">
      <c r="A128" s="14" t="s">
        <v>2996</v>
      </c>
      <c r="B128" s="14" t="s">
        <v>3078</v>
      </c>
      <c r="C128" s="14" t="s">
        <v>3077</v>
      </c>
      <c r="D128" s="16">
        <v>45889</v>
      </c>
      <c r="E128" s="16"/>
      <c r="F128" s="14" t="s">
        <v>3026</v>
      </c>
      <c r="G128" s="14" t="s">
        <v>3022</v>
      </c>
      <c r="H128" s="14" t="s">
        <v>3021</v>
      </c>
      <c r="I128" s="15">
        <v>44.13</v>
      </c>
      <c r="J128" s="77">
        <v>4</v>
      </c>
      <c r="K128" s="92"/>
    </row>
    <row r="129" spans="1:11" ht="22.5" x14ac:dyDescent="0.2">
      <c r="A129" s="14" t="s">
        <v>2996</v>
      </c>
      <c r="B129" s="14" t="s">
        <v>3079</v>
      </c>
      <c r="C129" s="14"/>
      <c r="D129" s="16">
        <v>45889</v>
      </c>
      <c r="E129" s="16"/>
      <c r="F129" s="14" t="s">
        <v>3028</v>
      </c>
      <c r="G129" s="14" t="s">
        <v>3007</v>
      </c>
      <c r="H129" s="14" t="s">
        <v>3027</v>
      </c>
      <c r="I129" s="15">
        <v>221.63</v>
      </c>
      <c r="J129" s="77">
        <v>2</v>
      </c>
      <c r="K129" s="92"/>
    </row>
    <row r="130" spans="1:11" ht="22.5" x14ac:dyDescent="0.2">
      <c r="A130" s="14" t="s">
        <v>2996</v>
      </c>
      <c r="B130" s="14" t="s">
        <v>3080</v>
      </c>
      <c r="C130" s="14"/>
      <c r="D130" s="16">
        <v>45889</v>
      </c>
      <c r="E130" s="16"/>
      <c r="F130" s="14" t="s">
        <v>3028</v>
      </c>
      <c r="G130" s="14" t="s">
        <v>3007</v>
      </c>
      <c r="H130" s="14" t="s">
        <v>3029</v>
      </c>
      <c r="I130" s="15">
        <v>528</v>
      </c>
      <c r="J130" s="77">
        <v>2</v>
      </c>
      <c r="K130" s="92"/>
    </row>
    <row r="131" spans="1:11" ht="12.75" x14ac:dyDescent="0.2">
      <c r="A131" s="14" t="s">
        <v>2996</v>
      </c>
      <c r="B131" s="14" t="s">
        <v>3081</v>
      </c>
      <c r="C131" s="14"/>
      <c r="D131" s="16">
        <v>45930</v>
      </c>
      <c r="E131" s="16"/>
      <c r="F131" s="14" t="s">
        <v>3001</v>
      </c>
      <c r="G131" s="14" t="s">
        <v>3002</v>
      </c>
      <c r="H131" s="14" t="s">
        <v>3003</v>
      </c>
      <c r="I131" s="15">
        <v>13</v>
      </c>
      <c r="J131" s="77">
        <v>4</v>
      </c>
      <c r="K131" s="92"/>
    </row>
    <row r="132" spans="1:11" ht="22.5" x14ac:dyDescent="0.2">
      <c r="A132" s="14" t="s">
        <v>2996</v>
      </c>
      <c r="B132" s="14" t="s">
        <v>3082</v>
      </c>
      <c r="C132" s="14"/>
      <c r="D132" s="16">
        <v>45909</v>
      </c>
      <c r="E132" s="16"/>
      <c r="F132" s="14" t="s">
        <v>3030</v>
      </c>
      <c r="G132" s="14" t="s">
        <v>3007</v>
      </c>
      <c r="H132" s="14" t="s">
        <v>3031</v>
      </c>
      <c r="I132" s="15">
        <v>463</v>
      </c>
      <c r="J132" s="77">
        <v>2</v>
      </c>
      <c r="K132" s="92"/>
    </row>
    <row r="133" spans="1:11" ht="12.75" x14ac:dyDescent="0.2">
      <c r="A133" s="14" t="s">
        <v>2996</v>
      </c>
      <c r="B133" s="14" t="s">
        <v>3083</v>
      </c>
      <c r="C133" s="14"/>
      <c r="D133" s="16">
        <v>45961</v>
      </c>
      <c r="E133" s="16"/>
      <c r="F133" s="14" t="s">
        <v>3001</v>
      </c>
      <c r="G133" s="14" t="s">
        <v>3002</v>
      </c>
      <c r="H133" s="14" t="s">
        <v>3003</v>
      </c>
      <c r="I133" s="15">
        <v>12.7</v>
      </c>
      <c r="J133" s="77">
        <v>4</v>
      </c>
      <c r="K133" s="92"/>
    </row>
    <row r="134" spans="1:11" ht="12.75" x14ac:dyDescent="0.2">
      <c r="A134" s="14" t="s">
        <v>2996</v>
      </c>
      <c r="B134" s="14" t="s">
        <v>3084</v>
      </c>
      <c r="C134" s="14"/>
      <c r="D134" s="16">
        <v>45947</v>
      </c>
      <c r="E134" s="16"/>
      <c r="F134" s="14" t="s">
        <v>3023</v>
      </c>
      <c r="G134" s="14" t="s">
        <v>3007</v>
      </c>
      <c r="H134" s="14" t="s">
        <v>3027</v>
      </c>
      <c r="I134" s="15">
        <v>400</v>
      </c>
      <c r="J134" s="77">
        <v>2</v>
      </c>
      <c r="K134" s="92"/>
    </row>
    <row r="135" spans="1:11" ht="12.75" x14ac:dyDescent="0.2">
      <c r="A135" s="14" t="s">
        <v>2996</v>
      </c>
      <c r="B135" s="14" t="s">
        <v>3085</v>
      </c>
      <c r="C135" s="14" t="s">
        <v>3086</v>
      </c>
      <c r="D135" s="16">
        <v>45971</v>
      </c>
      <c r="E135" s="16"/>
      <c r="F135" s="14" t="s">
        <v>3032</v>
      </c>
      <c r="G135" s="14" t="s">
        <v>3034</v>
      </c>
      <c r="H135" s="14" t="s">
        <v>3033</v>
      </c>
      <c r="I135" s="15">
        <v>100</v>
      </c>
      <c r="J135" s="77">
        <v>3</v>
      </c>
      <c r="K135" s="92"/>
    </row>
    <row r="136" spans="1:11" ht="12.75" x14ac:dyDescent="0.2">
      <c r="A136" s="14" t="s">
        <v>2996</v>
      </c>
      <c r="B136" s="14" t="s">
        <v>3087</v>
      </c>
      <c r="C136" s="14" t="s">
        <v>3088</v>
      </c>
      <c r="D136" s="16">
        <v>45979</v>
      </c>
      <c r="E136" s="16"/>
      <c r="F136" s="14" t="s">
        <v>3035</v>
      </c>
      <c r="G136" s="14" t="s">
        <v>3037</v>
      </c>
      <c r="H136" s="14" t="s">
        <v>3036</v>
      </c>
      <c r="I136" s="15">
        <v>615</v>
      </c>
      <c r="J136" s="77">
        <v>3</v>
      </c>
      <c r="K136" s="92"/>
    </row>
    <row r="137" spans="1:11" ht="12.75" x14ac:dyDescent="0.2">
      <c r="A137" s="14" t="s">
        <v>2996</v>
      </c>
      <c r="B137" s="14" t="s">
        <v>3089</v>
      </c>
      <c r="C137" s="14"/>
      <c r="D137" s="16">
        <v>45995</v>
      </c>
      <c r="E137" s="16"/>
      <c r="F137" s="14" t="s">
        <v>3038</v>
      </c>
      <c r="G137" s="6" t="s">
        <v>3042</v>
      </c>
      <c r="H137" s="14" t="s">
        <v>3039</v>
      </c>
      <c r="I137" s="15">
        <v>2167</v>
      </c>
      <c r="J137" s="77">
        <v>1</v>
      </c>
      <c r="K137" s="92"/>
    </row>
    <row r="138" spans="1:11" ht="12.75" x14ac:dyDescent="0.2">
      <c r="A138" s="14" t="s">
        <v>2996</v>
      </c>
      <c r="B138" s="14" t="s">
        <v>3092</v>
      </c>
      <c r="C138" s="14" t="s">
        <v>3093</v>
      </c>
      <c r="D138" s="16">
        <v>45999</v>
      </c>
      <c r="E138" s="16"/>
      <c r="F138" s="14" t="s">
        <v>3040</v>
      </c>
      <c r="G138" s="14" t="s">
        <v>3043</v>
      </c>
      <c r="H138" s="14" t="s">
        <v>3041</v>
      </c>
      <c r="I138" s="15">
        <v>350</v>
      </c>
      <c r="J138" s="77">
        <v>3</v>
      </c>
      <c r="K138" s="92"/>
    </row>
    <row r="139" spans="1:11" ht="12.75" x14ac:dyDescent="0.2">
      <c r="A139" s="14" t="s">
        <v>2996</v>
      </c>
      <c r="B139" s="14" t="s">
        <v>3090</v>
      </c>
      <c r="C139" s="14"/>
      <c r="D139" s="16">
        <v>45999</v>
      </c>
      <c r="E139" s="16"/>
      <c r="F139" s="14" t="s">
        <v>3038</v>
      </c>
      <c r="G139" s="14" t="s">
        <v>3045</v>
      </c>
      <c r="H139" s="14" t="s">
        <v>3046</v>
      </c>
      <c r="I139" s="15">
        <v>2167</v>
      </c>
      <c r="J139" s="77">
        <v>1</v>
      </c>
      <c r="K139" s="92"/>
    </row>
    <row r="140" spans="1:11" ht="12.75" x14ac:dyDescent="0.2">
      <c r="A140" s="14" t="s">
        <v>2996</v>
      </c>
      <c r="B140" s="14" t="s">
        <v>3091</v>
      </c>
      <c r="C140" s="14"/>
      <c r="D140" s="16">
        <v>45999</v>
      </c>
      <c r="E140" s="16"/>
      <c r="F140" s="14" t="s">
        <v>3038</v>
      </c>
      <c r="G140" s="14" t="s">
        <v>3044</v>
      </c>
      <c r="H140" s="14" t="s">
        <v>3047</v>
      </c>
      <c r="I140" s="15">
        <v>2167</v>
      </c>
      <c r="J140" s="77">
        <v>1</v>
      </c>
      <c r="K140" s="92"/>
    </row>
    <row r="141" spans="1:11" ht="12.75" x14ac:dyDescent="0.2">
      <c r="A141" s="14" t="s">
        <v>2996</v>
      </c>
      <c r="B141" s="14" t="s">
        <v>3094</v>
      </c>
      <c r="C141" s="14" t="s">
        <v>3095</v>
      </c>
      <c r="D141" s="16">
        <v>46002</v>
      </c>
      <c r="E141" s="16"/>
      <c r="F141" s="14" t="s">
        <v>3048</v>
      </c>
      <c r="G141" s="14">
        <v>37990420</v>
      </c>
      <c r="H141" s="14" t="s">
        <v>3017</v>
      </c>
      <c r="I141" s="15">
        <v>1422.5</v>
      </c>
      <c r="J141" s="77">
        <v>3</v>
      </c>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K195" s="92"/>
    </row>
    <row r="196" spans="1:11" ht="12.75" x14ac:dyDescent="0.2">
      <c r="K196" s="92"/>
    </row>
    <row r="197" spans="1:11" ht="12.75" x14ac:dyDescent="0.2">
      <c r="K197" s="92"/>
    </row>
    <row r="198" spans="1:11" ht="12.75" x14ac:dyDescent="0.2">
      <c r="K198" s="92"/>
    </row>
    <row r="199" spans="1:11" ht="12.75" x14ac:dyDescent="0.2">
      <c r="K199" s="92"/>
    </row>
    <row r="200" spans="1:11" ht="12.75" x14ac:dyDescent="0.2">
      <c r="K200" s="92"/>
    </row>
    <row r="201" spans="1:11" ht="12.75" x14ac:dyDescent="0.2">
      <c r="K201" s="92"/>
    </row>
    <row r="202" spans="1:11" ht="12.75" x14ac:dyDescent="0.2">
      <c r="K202" s="92"/>
    </row>
    <row r="203" spans="1:11" ht="12.75" x14ac:dyDescent="0.2">
      <c r="K203" s="92"/>
    </row>
    <row r="204" spans="1:11" ht="12.75" x14ac:dyDescent="0.2">
      <c r="K204" s="92"/>
    </row>
    <row r="205" spans="1:11" ht="12.75" x14ac:dyDescent="0.2">
      <c r="K205" s="92"/>
    </row>
    <row r="206" spans="1:11" ht="12.75" x14ac:dyDescent="0.2">
      <c r="K206" s="92"/>
    </row>
    <row r="207" spans="1:11" ht="12.75" x14ac:dyDescent="0.2">
      <c r="K207" s="92"/>
    </row>
    <row r="208" spans="1:11" ht="12.75" x14ac:dyDescent="0.2">
      <c r="K208" s="92"/>
    </row>
    <row r="209" spans="11:11" ht="12.75" x14ac:dyDescent="0.2">
      <c r="K209" s="92"/>
    </row>
    <row r="210" spans="11:11" ht="12.75" x14ac:dyDescent="0.2">
      <c r="K210" s="92"/>
    </row>
    <row r="211" spans="11:11" ht="12.75" x14ac:dyDescent="0.2">
      <c r="K211" s="92"/>
    </row>
    <row r="212" spans="11:11" ht="12.75" x14ac:dyDescent="0.2">
      <c r="K212" s="92"/>
    </row>
    <row r="213" spans="11:11" ht="12.75" x14ac:dyDescent="0.2">
      <c r="K213" s="92"/>
    </row>
    <row r="214" spans="11:11" ht="12.75" x14ac:dyDescent="0.2">
      <c r="K214" s="92"/>
    </row>
    <row r="215" spans="11:11" ht="12.75" x14ac:dyDescent="0.2">
      <c r="K215" s="92"/>
    </row>
    <row r="216" spans="11:11" ht="12.75" x14ac:dyDescent="0.2">
      <c r="K216" s="92"/>
    </row>
    <row r="217" spans="11:11" ht="12.75" x14ac:dyDescent="0.2">
      <c r="K217" s="92"/>
    </row>
    <row r="218" spans="11:11" ht="12.75" x14ac:dyDescent="0.2">
      <c r="K218" s="92"/>
    </row>
    <row r="219" spans="11:11" ht="12.75" x14ac:dyDescent="0.2">
      <c r="K219" s="92"/>
    </row>
    <row r="220" spans="11:11" ht="12.75" x14ac:dyDescent="0.2">
      <c r="K220" s="92"/>
    </row>
    <row r="221" spans="11:11" ht="12.75" x14ac:dyDescent="0.2">
      <c r="K221" s="92"/>
    </row>
    <row r="222" spans="11:11" ht="12.75" x14ac:dyDescent="0.2">
      <c r="K222" s="92"/>
    </row>
    <row r="223" spans="11:11" ht="12.75" x14ac:dyDescent="0.2">
      <c r="K223" s="92"/>
    </row>
    <row r="224" spans="11:11" ht="12.75" x14ac:dyDescent="0.2">
      <c r="K224" s="92"/>
    </row>
    <row r="225" spans="11:11" ht="12.75" x14ac:dyDescent="0.2">
      <c r="K225" s="92"/>
    </row>
    <row r="226" spans="11:11" ht="12.75" x14ac:dyDescent="0.2">
      <c r="K226" s="92"/>
    </row>
    <row r="227" spans="11:11" ht="12.75" x14ac:dyDescent="0.2">
      <c r="K227" s="92"/>
    </row>
    <row r="228" spans="11:11" ht="12.75" x14ac:dyDescent="0.2">
      <c r="K228" s="92"/>
    </row>
    <row r="229" spans="11:11" ht="12.75" x14ac:dyDescent="0.2">
      <c r="K229" s="92"/>
    </row>
    <row r="230" spans="11:11" ht="12.75" x14ac:dyDescent="0.2">
      <c r="K230" s="92"/>
    </row>
    <row r="231" spans="11:11" ht="12.75" x14ac:dyDescent="0.2">
      <c r="K231" s="92"/>
    </row>
    <row r="232" spans="11:11" ht="12.75" x14ac:dyDescent="0.2">
      <c r="K232" s="92"/>
    </row>
    <row r="233" spans="11:11" ht="12.75" x14ac:dyDescent="0.2">
      <c r="K233" s="92"/>
    </row>
    <row r="234" spans="11:11" ht="12.75" x14ac:dyDescent="0.2">
      <c r="K234" s="92"/>
    </row>
    <row r="235" spans="11:11" ht="12.75" x14ac:dyDescent="0.2">
      <c r="K235" s="92"/>
    </row>
    <row r="236" spans="11:11" ht="12.75" x14ac:dyDescent="0.2">
      <c r="K236" s="92"/>
    </row>
    <row r="237" spans="11:11" ht="12.75" x14ac:dyDescent="0.2">
      <c r="K237" s="92"/>
    </row>
    <row r="238" spans="11:11" ht="12.75" x14ac:dyDescent="0.2">
      <c r="K238" s="92"/>
    </row>
    <row r="239" spans="11:11" ht="12.75" x14ac:dyDescent="0.2">
      <c r="K239" s="92"/>
    </row>
    <row r="240" spans="11:11" ht="12.75" x14ac:dyDescent="0.2">
      <c r="K240" s="92"/>
    </row>
    <row r="241" spans="1:11" ht="12.75" x14ac:dyDescent="0.2">
      <c r="K241" s="92"/>
    </row>
    <row r="242" spans="1:11" ht="12.75" x14ac:dyDescent="0.2">
      <c r="K242" s="92"/>
    </row>
    <row r="243" spans="1:11" ht="12.75" x14ac:dyDescent="0.2">
      <c r="K243" s="92"/>
    </row>
    <row r="244" spans="1:11" ht="12.75" x14ac:dyDescent="0.2">
      <c r="K244" s="92"/>
    </row>
    <row r="245" spans="1:11" ht="12.75" x14ac:dyDescent="0.2">
      <c r="K245" s="92"/>
    </row>
    <row r="246" spans="1:11" ht="12.75" x14ac:dyDescent="0.2">
      <c r="K246" s="92"/>
    </row>
    <row r="247" spans="1:11" ht="12.75" x14ac:dyDescent="0.2">
      <c r="K247" s="92"/>
    </row>
    <row r="248" spans="1:11" ht="12.75" x14ac:dyDescent="0.2">
      <c r="K248" s="92"/>
    </row>
    <row r="249" spans="1:11" ht="12.75" x14ac:dyDescent="0.2">
      <c r="K249" s="92"/>
    </row>
    <row r="250" spans="1:11" ht="12.75" x14ac:dyDescent="0.2">
      <c r="K250" s="92"/>
    </row>
    <row r="251" spans="1:11" ht="12.75" x14ac:dyDescent="0.2">
      <c r="K251" s="92"/>
    </row>
    <row r="252" spans="1:11" ht="12.75" x14ac:dyDescent="0.2">
      <c r="K252" s="92"/>
    </row>
    <row r="253" spans="1:11" ht="12.75" x14ac:dyDescent="0.2">
      <c r="K253" s="92"/>
    </row>
    <row r="254" spans="1:11" ht="12.75" x14ac:dyDescent="0.2">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7:J135 A136:F137 H136:J137 A138:J194 A1112:H1113">
    <cfRule type="expression" dxfId="75" priority="46" stopIfTrue="1">
      <formula>$A107&lt;&gt;""</formula>
    </cfRule>
  </conditionalFormatting>
  <conditionalFormatting sqref="A255:J5000">
    <cfRule type="expression" dxfId="74" priority="35" stopIfTrue="1">
      <formula>$A255&lt;&gt;""</formula>
    </cfRule>
  </conditionalFormatting>
  <conditionalFormatting sqref="B472:E477">
    <cfRule type="expression" dxfId="73" priority="137" stopIfTrue="1">
      <formula>$A472&lt;&gt;""</formula>
    </cfRule>
  </conditionalFormatting>
  <conditionalFormatting sqref="B484:E488">
    <cfRule type="expression" dxfId="72" priority="172" stopIfTrue="1">
      <formula>$A484&lt;&gt;""</formula>
    </cfRule>
  </conditionalFormatting>
  <conditionalFormatting sqref="B689:E689">
    <cfRule type="expression" dxfId="71" priority="64" stopIfTrue="1">
      <formula>$A689&lt;&gt;""</formula>
    </cfRule>
  </conditionalFormatting>
  <conditionalFormatting sqref="B691:E691 H691:I691 B692:I693 B694:E699 H694:I699">
    <cfRule type="expression" dxfId="70" priority="24" stopIfTrue="1">
      <formula>$A691&lt;&gt;""</formula>
    </cfRule>
  </conditionalFormatting>
  <conditionalFormatting sqref="B701:E701 H701:I701">
    <cfRule type="expression" dxfId="69" priority="15" stopIfTrue="1">
      <formula>$A701&lt;&gt;""</formula>
    </cfRule>
  </conditionalFormatting>
  <conditionalFormatting sqref="B819:E819">
    <cfRule type="expression" dxfId="68" priority="87" stopIfTrue="1">
      <formula>$A819&lt;&gt;""</formula>
    </cfRule>
  </conditionalFormatting>
  <conditionalFormatting sqref="B1110:E1110">
    <cfRule type="expression" dxfId="67" priority="133" stopIfTrue="1">
      <formula>$A1110&lt;&gt;""</formula>
    </cfRule>
  </conditionalFormatting>
  <conditionalFormatting sqref="B1114:E1114">
    <cfRule type="expression" dxfId="66" priority="189" stopIfTrue="1">
      <formula>$A1114&lt;&gt;""</formula>
    </cfRule>
  </conditionalFormatting>
  <conditionalFormatting sqref="B1131:E1136">
    <cfRule type="expression" dxfId="65" priority="179" stopIfTrue="1">
      <formula>$A1131&lt;&gt;""</formula>
    </cfRule>
  </conditionalFormatting>
  <conditionalFormatting sqref="B1138:E1148">
    <cfRule type="expression" dxfId="64" priority="47" stopIfTrue="1">
      <formula>$A1138&lt;&gt;""</formula>
    </cfRule>
  </conditionalFormatting>
  <conditionalFormatting sqref="B1152:E1152">
    <cfRule type="expression" dxfId="63" priority="73" stopIfTrue="1">
      <formula>$A1152&lt;&gt;""</formula>
    </cfRule>
  </conditionalFormatting>
  <conditionalFormatting sqref="B1253:E1260 I1253:J1270">
    <cfRule type="expression" dxfId="62" priority="123" stopIfTrue="1">
      <formula>$A1253&lt;&gt;""</formula>
    </cfRule>
  </conditionalFormatting>
  <conditionalFormatting sqref="B1293:E1301">
    <cfRule type="expression" dxfId="61" priority="158" stopIfTrue="1">
      <formula>$A1293&lt;&gt;""</formula>
    </cfRule>
  </conditionalFormatting>
  <conditionalFormatting sqref="B1303:E1326">
    <cfRule type="expression" dxfId="60" priority="37" stopIfTrue="1">
      <formula>$A1303&lt;&gt;""</formula>
    </cfRule>
  </conditionalFormatting>
  <conditionalFormatting sqref="B1360:E1363">
    <cfRule type="expression" dxfId="59" priority="54" stopIfTrue="1">
      <formula>$A1360&lt;&gt;""</formula>
    </cfRule>
  </conditionalFormatting>
  <conditionalFormatting sqref="B1365:E1367">
    <cfRule type="expression" dxfId="58" priority="259" stopIfTrue="1">
      <formula>$A1365&lt;&gt;""</formula>
    </cfRule>
  </conditionalFormatting>
  <conditionalFormatting sqref="B1369:E1379">
    <cfRule type="expression" dxfId="57" priority="78" stopIfTrue="1">
      <formula>$A1369&lt;&gt;""</formula>
    </cfRule>
  </conditionalFormatting>
  <conditionalFormatting sqref="B1393:E1404">
    <cfRule type="expression" dxfId="56" priority="116" stopIfTrue="1">
      <formula>$A1393&lt;&gt;""</formula>
    </cfRule>
  </conditionalFormatting>
  <conditionalFormatting sqref="B1412:E1450">
    <cfRule type="expression" dxfId="55" priority="153" stopIfTrue="1">
      <formula>$A1412&lt;&gt;""</formula>
    </cfRule>
  </conditionalFormatting>
  <conditionalFormatting sqref="B1453:E1458">
    <cfRule type="expression" dxfId="54" priority="223" stopIfTrue="1">
      <formula>$A1453&lt;&gt;""</formula>
    </cfRule>
  </conditionalFormatting>
  <conditionalFormatting sqref="B489:G489">
    <cfRule type="expression" dxfId="53" priority="173" stopIfTrue="1">
      <formula>$A489&lt;&gt;""</formula>
    </cfRule>
  </conditionalFormatting>
  <conditionalFormatting sqref="B478:H483">
    <cfRule type="expression" dxfId="52" priority="193" stopIfTrue="1">
      <formula>$A478&lt;&gt;""</formula>
    </cfRule>
  </conditionalFormatting>
  <conditionalFormatting sqref="B490:H496">
    <cfRule type="expression" dxfId="51" priority="149" stopIfTrue="1">
      <formula>$A490&lt;&gt;""</formula>
    </cfRule>
  </conditionalFormatting>
  <conditionalFormatting sqref="B1067:H1082">
    <cfRule type="expression" dxfId="50" priority="219" stopIfTrue="1">
      <formula>$A1067&lt;&gt;""</formula>
    </cfRule>
  </conditionalFormatting>
  <conditionalFormatting sqref="B1272:H1274 B1275:E1288 H1275:H1288">
    <cfRule type="expression" dxfId="49" priority="148" stopIfTrue="1">
      <formula>$A1272&lt;&gt;""</formula>
    </cfRule>
  </conditionalFormatting>
  <conditionalFormatting sqref="B1290:H1292">
    <cfRule type="expression" dxfId="48" priority="43" stopIfTrue="1">
      <formula>$A1290&lt;&gt;""</formula>
    </cfRule>
  </conditionalFormatting>
  <conditionalFormatting sqref="B1364:H1364">
    <cfRule type="expression" dxfId="47" priority="289" stopIfTrue="1">
      <formula>$A1364&lt;&gt;""</formula>
    </cfRule>
  </conditionalFormatting>
  <conditionalFormatting sqref="B1380:H1385">
    <cfRule type="expression" dxfId="46" priority="17" stopIfTrue="1">
      <formula>$A1380&lt;&gt;""</formula>
    </cfRule>
  </conditionalFormatting>
  <conditionalFormatting sqref="B1410:H1411">
    <cfRule type="expression" dxfId="45" priority="196" stopIfTrue="1">
      <formula>$A1410&lt;&gt;""</formula>
    </cfRule>
  </conditionalFormatting>
  <conditionalFormatting sqref="B276:I320">
    <cfRule type="expression" dxfId="44" priority="93" stopIfTrue="1">
      <formula>$A276&lt;&gt;""</formula>
    </cfRule>
  </conditionalFormatting>
  <conditionalFormatting sqref="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43" priority="290" stopIfTrue="1">
      <formula>$A470&lt;&gt;""</formula>
    </cfRule>
  </conditionalFormatting>
  <conditionalFormatting sqref="B497:I499">
    <cfRule type="expression" dxfId="42" priority="95" stopIfTrue="1">
      <formula>$A497&lt;&gt;""</formula>
    </cfRule>
  </conditionalFormatting>
  <conditionalFormatting sqref="B645:I688">
    <cfRule type="expression" dxfId="41" priority="256" stopIfTrue="1">
      <formula>$A645&lt;&gt;""</formula>
    </cfRule>
  </conditionalFormatting>
  <conditionalFormatting sqref="B690:I690">
    <cfRule type="expression" dxfId="40" priority="22" stopIfTrue="1">
      <formula>$A690&lt;&gt;""</formula>
    </cfRule>
  </conditionalFormatting>
  <conditionalFormatting sqref="B1137:I1137">
    <cfRule type="expression" dxfId="39" priority="147" stopIfTrue="1">
      <formula>$A1137&lt;&gt;""</formula>
    </cfRule>
  </conditionalFormatting>
  <conditionalFormatting sqref="B1149:I1151">
    <cfRule type="expression" dxfId="38" priority="16" stopIfTrue="1">
      <formula>$A1149&lt;&gt;""</formula>
    </cfRule>
  </conditionalFormatting>
  <conditionalFormatting sqref="B1153:I1157">
    <cfRule type="expression" dxfId="37" priority="18" stopIfTrue="1">
      <formula>$A1153&lt;&gt;""</formula>
    </cfRule>
  </conditionalFormatting>
  <conditionalFormatting sqref="B1271:I1271 I1272:I1288">
    <cfRule type="expression" dxfId="36" priority="151" stopIfTrue="1">
      <formula>$A1271&lt;&gt;""</formula>
    </cfRule>
  </conditionalFormatting>
  <conditionalFormatting sqref="B1368:I1368">
    <cfRule type="expression" dxfId="35" priority="146" stopIfTrue="1">
      <formula>$A1368&lt;&gt;""</formula>
    </cfRule>
  </conditionalFormatting>
  <conditionalFormatting sqref="B360:J420">
    <cfRule type="expression" dxfId="34" priority="261" stopIfTrue="1">
      <formula>$A360&lt;&gt;""</formula>
    </cfRule>
  </conditionalFormatting>
  <conditionalFormatting sqref="B457:J458">
    <cfRule type="expression" dxfId="33" priority="222" stopIfTrue="1">
      <formula>$A457&lt;&gt;""</formula>
    </cfRule>
  </conditionalFormatting>
  <conditionalFormatting sqref="B599:J625">
    <cfRule type="expression" dxfId="32" priority="2" stopIfTrue="1">
      <formula>$A599&lt;&gt;""</formula>
    </cfRule>
  </conditionalFormatting>
  <conditionalFormatting sqref="B1053:J1054">
    <cfRule type="expression" dxfId="31" priority="217" stopIfTrue="1">
      <formula>$A1053&lt;&gt;""</formula>
    </cfRule>
  </conditionalFormatting>
  <conditionalFormatting sqref="B1127:J1130">
    <cfRule type="expression" dxfId="30" priority="7" stopIfTrue="1">
      <formula>$A1127&lt;&gt;""</formula>
    </cfRule>
  </conditionalFormatting>
  <conditionalFormatting sqref="B1158:J1252">
    <cfRule type="expression" dxfId="29" priority="33" stopIfTrue="1">
      <formula>$A1158&lt;&gt;""</formula>
    </cfRule>
  </conditionalFormatting>
  <conditionalFormatting sqref="B1406:J1406">
    <cfRule type="expression" dxfId="28" priority="198" stopIfTrue="1">
      <formula>$A1406&lt;&gt;""</formula>
    </cfRule>
  </conditionalFormatting>
  <conditionalFormatting sqref="B1461:J4374">
    <cfRule type="expression" dxfId="27" priority="42" stopIfTrue="1">
      <formula>$A1461&lt;&gt;""</formula>
    </cfRule>
  </conditionalFormatting>
  <conditionalFormatting sqref="F472:H473">
    <cfRule type="expression" dxfId="26" priority="139" stopIfTrue="1">
      <formula>$A472&lt;&gt;""</formula>
    </cfRule>
  </conditionalFormatting>
  <conditionalFormatting sqref="F476:H477">
    <cfRule type="expression" dxfId="25" priority="229" stopIfTrue="1">
      <formula>$A476&lt;&gt;""</formula>
    </cfRule>
  </conditionalFormatting>
  <conditionalFormatting sqref="F484:H486 H487:H489">
    <cfRule type="expression" dxfId="24" priority="171" stopIfTrue="1">
      <formula>$A484&lt;&gt;""</formula>
    </cfRule>
  </conditionalFormatting>
  <conditionalFormatting sqref="F1131:H1131">
    <cfRule type="expression" dxfId="23" priority="280" stopIfTrue="1">
      <formula>$A1131&lt;&gt;""</formula>
    </cfRule>
  </conditionalFormatting>
  <conditionalFormatting sqref="F1255:H1260">
    <cfRule type="expression" dxfId="22" priority="122" stopIfTrue="1">
      <formula>$A1255&lt;&gt;""</formula>
    </cfRule>
  </conditionalFormatting>
  <conditionalFormatting sqref="G136">
    <cfRule type="expression" dxfId="21" priority="292" stopIfTrue="1">
      <formula>$A136&lt;&gt;""</formula>
    </cfRule>
  </conditionalFormatting>
  <conditionalFormatting sqref="H474:H475">
    <cfRule type="expression" dxfId="20" priority="143" stopIfTrue="1">
      <formula>$A474&lt;&gt;""</formula>
    </cfRule>
  </conditionalFormatting>
  <conditionalFormatting sqref="H1132:H1136">
    <cfRule type="expression" dxfId="19" priority="181" stopIfTrue="1">
      <formula>$A1132&lt;&gt;""</formula>
    </cfRule>
  </conditionalFormatting>
  <conditionalFormatting sqref="H1254">
    <cfRule type="expression" dxfId="18" priority="192" stopIfTrue="1">
      <formula>$A1254&lt;&gt;""</formula>
    </cfRule>
  </conditionalFormatting>
  <conditionalFormatting sqref="H1293:H1301">
    <cfRule type="expression" dxfId="17" priority="160" stopIfTrue="1">
      <formula>$A1293&lt;&gt;""</formula>
    </cfRule>
  </conditionalFormatting>
  <conditionalFormatting sqref="H1303:H1326">
    <cfRule type="expression" dxfId="16" priority="39" stopIfTrue="1">
      <formula>$A1303&lt;&gt;""</formula>
    </cfRule>
  </conditionalFormatting>
  <conditionalFormatting sqref="H1365:H1367">
    <cfRule type="expression" dxfId="15" priority="258" stopIfTrue="1">
      <formula>$A1365&lt;&gt;""</formula>
    </cfRule>
  </conditionalFormatting>
  <conditionalFormatting sqref="H1369:H1379">
    <cfRule type="expression" dxfId="14" priority="19" stopIfTrue="1">
      <formula>$A1369&lt;&gt;""</formula>
    </cfRule>
  </conditionalFormatting>
  <conditionalFormatting sqref="H1412">
    <cfRule type="expression" dxfId="13" priority="155" stopIfTrue="1">
      <formula>$A1412&lt;&gt;""</formula>
    </cfRule>
  </conditionalFormatting>
  <conditionalFormatting sqref="H1453:H1458">
    <cfRule type="expression" dxfId="12" priority="225" stopIfTrue="1">
      <formula>$A1453&lt;&gt;""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255:F5000 F107:F194" xr:uid="{255B499D-B3E6-47A9-A857-DBFE56F071D9}">
      <formula1>$F$96:$F$99</formula1>
    </dataValidation>
    <dataValidation type="list" allowBlank="1" showInputMessage="1" showErrorMessage="1" sqref="A255:A5000 A107:A194" xr:uid="{540C0DA9-E9CD-4805-B659-E67C1C32B21C}">
      <formula1>OFFSET($A$1,0,0,$B$3,1)</formula1>
    </dataValidation>
    <dataValidation allowBlank="1" sqref="G255:G5000 G107:G136 G138:G194" xr:uid="{B36265DD-F5DD-4F0A-AD93-4A0388363C0B}"/>
    <dataValidation type="list" allowBlank="1" showInputMessage="1" showErrorMessage="1" errorTitle="Chyba !" error="zadajte (vyberte zo zoznamu) platný analytický kód podľa nápovedy k bunke I104" sqref="J255:J10000 J107:J194"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2.5"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2.75" x14ac:dyDescent="0.2">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2.75" x14ac:dyDescent="0.2">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2.75" x14ac:dyDescent="0.2">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2.75" x14ac:dyDescent="0.2">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2.75" x14ac:dyDescent="0.2">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2.75" x14ac:dyDescent="0.2">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2.75" x14ac:dyDescent="0.2">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2.75" x14ac:dyDescent="0.2">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2.75" x14ac:dyDescent="0.2">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rugbyová únia, Hrobákova 1, Bratislava, 851 02</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1"/>
      <c r="N17" s="137" t="str">
        <f t="shared" si="0"/>
        <v xml:space="preserve">q - </v>
      </c>
      <c r="O17" s="137" t="s">
        <v>367</v>
      </c>
    </row>
    <row r="18" spans="1:16" x14ac:dyDescent="0.2">
      <c r="B18" s="193" t="s">
        <v>1274</v>
      </c>
      <c r="C18" s="142" t="str">
        <f>Spolu!C4</f>
        <v>30851459</v>
      </c>
      <c r="E18" s="147" t="s">
        <v>1275</v>
      </c>
      <c r="F18" s="281">
        <v>421947749446</v>
      </c>
      <c r="N18" s="137" t="str">
        <f t="shared" si="0"/>
        <v xml:space="preserve">r - </v>
      </c>
      <c r="O18" s="137" t="s">
        <v>368</v>
      </c>
    </row>
    <row r="19" spans="1:16" x14ac:dyDescent="0.2">
      <c r="E19" s="147" t="s">
        <v>1276</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rugbyová únia, Hrobákova 1, Bratislava, 851 02</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0"/>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30851459</v>
      </c>
      <c r="F19" s="145" t="s">
        <v>1270</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1275</v>
      </c>
      <c r="G21" s="283">
        <v>421947749446</v>
      </c>
      <c r="H21" s="148"/>
      <c r="N21" s="137" t="str">
        <f>O21&amp;" - "&amp;P21</f>
        <v>026 01 - Šport pre všetkých, školský a univerzitný šport</v>
      </c>
      <c r="O21" s="137" t="s">
        <v>317</v>
      </c>
      <c r="P21" s="137" t="s">
        <v>318</v>
      </c>
    </row>
    <row r="22" spans="1:16" x14ac:dyDescent="0.2">
      <c r="A22" s="137"/>
      <c r="B22" s="137"/>
      <c r="F22" s="147" t="s">
        <v>1276</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Slavo Surgos</cp:lastModifiedBy>
  <cp:revision/>
  <cp:lastPrinted>2026-04-13T12:58:03Z</cp:lastPrinted>
  <dcterms:created xsi:type="dcterms:W3CDTF">2017-02-20T06:20:12Z</dcterms:created>
  <dcterms:modified xsi:type="dcterms:W3CDTF">2026-04-13T12:58:03Z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