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d.docs.live.net/0925a6e9d8459fb8/Documents/bridge/2025/vyúčtovanie príspevku/"/>
    </mc:Choice>
  </mc:AlternateContent>
  <xr:revisionPtr revIDLastSave="5" documentId="14_{FB469F3D-46A2-4A0E-A39C-110D8B4ABFB4}" xr6:coauthVersionLast="47" xr6:coauthVersionMax="47" xr10:uidLastSave="{7A656607-8880-47E5-B730-79E3B0837CD2}"/>
  <bookViews>
    <workbookView xWindow="-110" yWindow="-110" windowWidth="38620" windowHeight="212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4" i="4" l="1"/>
  <c r="I114" i="4"/>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<sst xmlns="http://schemas.openxmlformats.org/spreadsheetml/2006/main" count="6683" uniqueCount="3076">
  <si>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</si>
  <si>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</si>
  <si>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</si>
  <si>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</si>
  <si>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</si>
  <si>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</si>
  <si>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</si>
  <si>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</si>
  <si>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</si>
  <si>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</si>
  <si>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</si>
  <si>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</si>
  <si>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</si>
  <si>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</si>
  <si>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</si>
  <si>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</si>
  <si>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</si>
  <si>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</si>
  <si>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</si>
  <si>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</si>
  <si>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</si>
  <si>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</si>
  <si>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</si>
  <si>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</si>
  <si>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</si>
  <si>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</si>
  <si>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</si>
  <si>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</si>
  <si>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</si>
  <si>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</si>
  <si>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</si>
  <si>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</si>
  <si>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</si>
  <si>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</si>
  <si>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</si>
  <si>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</si>
  <si>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</si>
  <si>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</si>
  <si>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</si>
  <si>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</si>
  <si>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</si>
  <si>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</si>
  <si>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</si>
  <si>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</si>
  <si>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</si>
  <si>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</si>
  <si>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</si>
  <si>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</si>
  <si>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</si>
  <si>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</si>
  <si>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</si>
  <si>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</si>
  <si>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</si>
  <si>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</si>
  <si>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</si>
  <si>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</si>
  <si>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</si>
  <si>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</si>
  <si>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</si>
  <si>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</si>
  <si>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</si>
  <si>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</si>
  <si>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</si>
  <si>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</si>
  <si>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</si>
  <si>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</si>
  <si>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</si>
  <si>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</si>
  <si>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</si>
  <si>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</si>
  <si>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</si>
  <si>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</si>
  <si>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</si>
  <si>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</si>
  <si>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</si>
  <si>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</si>
  <si>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</si>
  <si>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</si>
  <si>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</si>
  <si>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</si>
  <si>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</si>
  <si>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</si>
  <si>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</si>
  <si>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</si>
  <si>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</si>
  <si>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</si>
  <si>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</si>
  <si>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</si>
  <si>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</si>
  <si>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</si>
  <si>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</si>
  <si>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</si>
  <si>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</si>
  <si>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</si>
  <si>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</si>
  <si>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</si>
  <si>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</si>
  <si>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</si>
  <si>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</si>
  <si>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</si>
  <si>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</si>
  <si>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</si>
  <si>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</si>
  <si>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</si>
  <si>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</si>
  <si>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</si>
  <si>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</si>
  <si>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</si>
  <si>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</si>
  <si>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</si>
  <si>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</si>
  <si>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</si>
  <si>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</si>
  <si>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</si>
  <si>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</si>
  <si>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</si>
  <si>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</si>
  <si>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</si>
  <si>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</si>
  <si>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</si>
  <si>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</si>
  <si>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</si>
  <si>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</si>
  <si>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</si>
  <si>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</si>
  <si>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</si>
  <si>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</si>
  <si>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</si>
  <si>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</si>
  <si>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</si>
  <si>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</si>
  <si>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</si>
  <si>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</si>
  <si>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</si>
  <si>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</si>
  <si>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</si>
  <si>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</si>
  <si>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</si>
  <si>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</si>
  <si>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</si>
  <si>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</si>
  <si>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</si>
  <si>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</si>
  <si>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</si>
  <si>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</si>
  <si>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</si>
  <si>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</si>
  <si>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</si>
  <si>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</si>
  <si>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</si>
  <si>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</si>
  <si>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</si>
  <si>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</si>
  <si>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</si>
  <si>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</si>
  <si>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</si>
  <si>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</si>
  <si>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</si>
  <si>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</si>
  <si>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</si>
  <si>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</si>
  <si>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</si>
  <si>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</si>
  <si>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</si>
  <si>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</si>
  <si>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</si>
  <si>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</si>
  <si>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</si>
  <si>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</si>
  <si>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</si>
  <si>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</si>
  <si>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</si>
  <si>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</si>
  <si>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</si>
  <si>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</si>
  <si>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</si>
  <si>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</si>
  <si>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</si>
  <si>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</si>
  <si>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</si>
  <si>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</si>
  <si>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</si>
  <si>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</si>
  <si>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</si>
  <si>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</si>
  <si>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</si>
  <si>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</si>
  <si>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</si>
  <si>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</si>
  <si>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</si>
  <si>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</si>
  <si>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</si>
  <si>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</si>
  <si>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</si>
  <si>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</si>
  <si>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</si>
  <si>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</si>
  <si>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</si>
  <si>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</si>
  <si>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</si>
  <si>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</si>
  <si>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</si>
  <si>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</si>
  <si>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</si>
  <si>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</si>
  <si>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</si>
  <si>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</si>
  <si>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</si>
  <si>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</si>
  <si>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</si>
  <si>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</si>
  <si>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</si>
  <si>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</si>
  <si>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</si>
  <si>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</si>
  <si>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</si>
  <si>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</si>
  <si>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</si>
  <si>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</si>
  <si>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</si>
  <si>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</si>
  <si>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</si>
  <si>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</si>
  <si>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</si>
  <si>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</si>
  <si>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</si>
  <si>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</si>
  <si>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</si>
  <si>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</si>
  <si>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</si>
  <si>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</si>
  <si>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</si>
  <si>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</si>
  <si>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</si>
  <si>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</si>
  <si>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</si>
  <si>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</si>
  <si>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</si>
  <si>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</si>
  <si>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</si>
  <si>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</si>
  <si>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</si>
  <si>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</si>
  <si>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</si>
  <si>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</si>
  <si>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</si>
  <si>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</si>
  <si>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</si>
  <si>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</si>
  <si>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</si>
  <si>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</si>
  <si>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</si>
  <si>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</si>
  <si>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</si>
  <si>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</si>
  <si>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</si>
  <si>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</si>
  <si>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</si>
  <si>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</si>
  <si>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</si>
  <si>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</si>
  <si>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</si>
  <si>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</si>
  <si>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</si>
  <si>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</si>
  <si>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</si>
  <si>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</si>
  <si>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</si>
  <si>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</si>
  <si>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</si>
  <si>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</si>
  <si>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</si>
  <si>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</si>
  <si>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</si>
  <si>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</si>
  <si>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</si>
  <si>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</si>
  <si>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</si>
  <si>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</si>
  <si>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</si>
  <si>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</si>
  <si>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</si>
  <si>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</si>
  <si>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</si>
  <si>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</si>
  <si>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</si>
  <si>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</si>
  <si>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</si>
  <si>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</si>
  <si>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</si>
  <si>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</si>
  <si>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</si>
  <si>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</si>
  <si>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</si>
  <si>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</si>
  <si>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</si>
  <si>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</si>
  <si>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</si>
  <si>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</si>
  <si>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</si>
  <si>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</si>
  <si>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</si>
  <si>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</si>
  <si>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</si>
  <si>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</si>
  <si>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</si>
  <si>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</si>
  <si>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</si>
  <si>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</si>
  <si>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</si>
  <si>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</si>
  <si>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</si>
  <si>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</si>
  <si>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</si>
  <si>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</si>
  <si>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</si>
  <si>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</si>
  <si>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</si>
  <si>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</si>
  <si>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</si>
  <si>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</si>
  <si>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</si>
  <si>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</si>
  <si>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</si>
  <si>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</si>
  <si>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</si>
  <si>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</si>
  <si>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</si>
  <si>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</si>
  <si>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</si>
  <si>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</si>
  <si>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</si>
  <si>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</si>
  <si>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</si>
  <si>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</si>
  <si>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</si>
  <si>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</si>
  <si>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</si>
  <si>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</si>
  <si>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</si>
  <si>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</si>
  <si>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</si>
  <si>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</si>
  <si>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</si>
  <si>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</si>
  <si>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</si>
  <si>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</si>
  <si>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</si>
  <si>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</si>
  <si>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</si>
  <si>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</si>
  <si>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</si>
  <si>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</si>
  <si>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</si>
  <si>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</si>
  <si>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</si>
  <si>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</si>
  <si>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</si>
  <si>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</si>
  <si>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</si>
  <si>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</si>
  <si>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</si>
  <si>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</si>
  <si>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</si>
  <si>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</si>
  <si>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</si>
  <si>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</si>
  <si>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</si>
  <si>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</si>
  <si>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</si>
  <si>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</si>
  <si>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</si>
  <si>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</si>
  <si>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</si>
  <si>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</si>
  <si>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</si>
  <si>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</si>
  <si>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</si>
  <si>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</si>
  <si>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</si>
  <si>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</si>
  <si>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</si>
  <si>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</si>
  <si>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</si>
  <si>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</si>
  <si>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</si>
  <si>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</si>
  <si>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</si>
  <si>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</si>
  <si>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</si>
  <si>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</si>
  <si>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</si>
  <si>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</si>
  <si>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</si>
  <si>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</si>
  <si>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</si>
  <si>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</si>
  <si>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</si>
  <si>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</si>
  <si>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</si>
  <si>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</si>
  <si>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</si>
  <si>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</si>
  <si>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</si>
  <si>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</si>
  <si>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</si>
  <si>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</si>
  <si>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</si>
  <si>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</si>
  <si>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</si>
  <si>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</si>
  <si>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</si>
  <si>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</si>
  <si>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</si>
  <si>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</si>
  <si>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</si>
  <si>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</si>
  <si>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</si>
  <si>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</si>
  <si>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</si>
  <si>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</si>
  <si>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</si>
  <si>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</si>
  <si>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</si>
  <si>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</si>
  <si>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</si>
  <si>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</si>
  <si>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</si>
  <si>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</si>
  <si>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</si>
  <si>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</si>
  <si>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</si>
  <si>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</si>
  <si>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</si>
  <si>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</si>
  <si>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</si>
  <si>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</si>
  <si>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</si>
  <si>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</si>
  <si>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</si>
  <si>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</si>
  <si>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</si>
  <si>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</si>
  <si>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</si>
  <si>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</si>
  <si>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</si>
  <si>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</si>
  <si>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</si>
  <si>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</si>
  <si>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</si>
  <si>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</si>
  <si>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</si>
  <si>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</si>
  <si>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</si>
  <si>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</si>
  <si>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</si>
  <si>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</si>
  <si>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</si>
  <si>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</si>
  <si>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</si>
  <si>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</si>
  <si>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</si>
  <si>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</si>
  <si>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</si>
  <si>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</si>
  <si>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</si>
  <si>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</si>
  <si>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</si>
  <si>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</si>
  <si>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</si>
  <si>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</si>
  <si>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</si>
  <si>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</si>
  <si>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</si>
  <si>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</si>
  <si>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</si>
  <si>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</si>
  <si>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</si>
  <si>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</si>
  <si>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</si>
  <si>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</si>
  <si>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</si>
  <si>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</si>
  <si>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</si>
  <si>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</si>
  <si>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</si>
  <si>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</si>
  <si>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</si>
  <si>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</si>
  <si>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</si>
  <si>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</si>
  <si>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</si>
  <si>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</si>
  <si>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</si>
  <si>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</si>
  <si>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</si>
  <si>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</si>
  <si>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</si>
  <si>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</si>
  <si>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</si>
  <si>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</si>
  <si>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</si>
  <si>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</si>
  <si>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</si>
  <si>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</si>
  <si>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</si>
  <si>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</si>
  <si>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</si>
  <si>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</si>
  <si>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</si>
  <si>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</si>
  <si>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</si>
  <si>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</si>
  <si>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</si>
  <si>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</si>
  <si>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</si>
  <si>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</si>
  <si>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</si>
  <si>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</si>
  <si>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</si>
  <si>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</si>
  <si>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</si>
  <si>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</si>
  <si>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</si>
  <si>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</si>
  <si>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</si>
  <si>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</si>
  <si>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</si>
  <si>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</si>
  <si>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</si>
  <si>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</si>
  <si>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</si>
  <si>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</si>
  <si>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</si>
  <si>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</si>
  <si>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</si>
  <si>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</si>
  <si>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</si>
  <si>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</si>
  <si>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</si>
  <si>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</si>
  <si>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</si>
  <si>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</si>
  <si>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</si>
  <si>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</si>
  <si>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</si>
  <si>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</si>
  <si>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</si>
  <si>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</si>
  <si>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</si>
  <si>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</si>
  <si>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</si>
  <si>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</si>
  <si>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</si>
  <si>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</si>
  <si>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</si>
  <si>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</si>
  <si>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</si>
  <si>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</si>
  <si>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</si>
  <si>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</si>
  <si>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</si>
  <si>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</si>
  <si>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</si>
  <si>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</si>
  <si>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</si>
  <si>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</si>
  <si>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</si>
  <si>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</si>
  <si>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</si>
  <si>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</si>
  <si>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</si>
  <si>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</si>
  <si>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</si>
  <si>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</si>
  <si>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</si>
  <si>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</si>
  <si>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</si>
  <si>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</si>
  <si>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</si>
  <si>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</si>
  <si>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</si>
  <si>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</si>
  <si>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</si>
  <si>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</si>
  <si>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</si>
  <si>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</si>
  <si>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</si>
  <si>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</si>
  <si>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</si>
  <si>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</si>
  <si>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</si>
  <si>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</si>
  <si>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</si>
  <si>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</si>
  <si>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</si>
  <si>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</si>
  <si>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</si>
  <si>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</si>
  <si>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</si>
  <si>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</si>
  <si>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</si>
  <si>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</si>
  <si>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</si>
  <si>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</si>
  <si>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</si>
  <si>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</si>
  <si>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</si>
  <si>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</si>
  <si>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</si>
  <si>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</si>
  <si>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</si>
  <si>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</si>
  <si>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</si>
  <si>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</si>
  <si>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</si>
  <si>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</si>
  <si>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</si>
  <si>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</si>
  <si>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</si>
  <si>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</si>
  <si>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</si>
  <si>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</si>
  <si>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</si>
  <si>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</si>
  <si>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</si>
  <si>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</si>
  <si>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</si>
  <si>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</si>
  <si>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</si>
  <si>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</si>
  <si>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</si>
  <si>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</si>
  <si>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</si>
  <si>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</si>
  <si>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</si>
  <si>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</si>
  <si>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</si>
  <si>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</si>
  <si>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</si>
  <si>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</si>
  <si>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</si>
  <si>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</si>
  <si>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</si>
  <si>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</si>
  <si>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</si>
  <si>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</si>
  <si>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</si>
  <si>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</si>
  <si>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</si>
  <si>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</si>
  <si>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</si>
  <si>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</si>
  <si>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</si>
  <si>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</si>
  <si>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</si>
  <si>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</si>
  <si>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</si>
  <si>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</si>
  <si>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</si>
  <si>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</si>
  <si>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</si>
  <si>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</si>
  <si>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</si>
  <si>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</si>
  <si>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</si>
  <si>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</si>
  <si>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</si>
  <si>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</si>
  <si>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</si>
  <si>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</si>
  <si>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</si>
  <si>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</si>
  <si>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</si>
  <si>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</si>
  <si>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</si>
  <si>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</si>
  <si>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</si>
  <si>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</si>
  <si>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</si>
  <si>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</si>
  <si>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</si>
  <si>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</si>
  <si>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</si>
  <si>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</si>
  <si>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</si>
  <si>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</si>
  <si>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</si>
  <si>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</si>
  <si>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</si>
  <si>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</si>
  <si>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</si>
  <si>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</si>
  <si>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</si>
  <si>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</si>
  <si>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</si>
  <si>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</si>
  <si>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</si>
  <si>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</si>
  <si>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</si>
  <si>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</si>
  <si>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</si>
  <si>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</si>
  <si>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</si>
  <si>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</si>
  <si>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</si>
  <si>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</si>
  <si>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</si>
  <si>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</si>
  <si>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</si>
  <si>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</si>
  <si>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</si>
  <si>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</si>
  <si>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</si>
  <si>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</si>
  <si>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</si>
  <si>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</si>
  <si>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</si>
  <si>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</si>
  <si>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</si>
  <si>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</si>
  <si>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</si>
  <si>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</si>
  <si>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</si>
  <si>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</si>
  <si>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</si>
  <si>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</si>
  <si>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</si>
  <si>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</si>
  <si>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</si>
  <si>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</si>
  <si>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</si>
  <si>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</si>
  <si>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</si>
  <si>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</si>
  <si>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</si>
  <si>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</si>
  <si>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</si>
  <si>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</si>
  <si>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</si>
  <si>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</si>
  <si>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</si>
  <si>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</si>
  <si>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</si>
  <si>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</si>
  <si>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</si>
  <si>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</si>
  <si>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</si>
  <si>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</si>
  <si>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</si>
  <si>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</si>
  <si>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</si>
  <si>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</si>
  <si>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</si>
  <si>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</si>
  <si>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</si>
  <si>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</si>
  <si>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</si>
  <si>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</si>
  <si>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</si>
  <si>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</si>
  <si>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</si>
  <si>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</si>
  <si>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</si>
  <si>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</si>
  <si>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</si>
  <si>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</si>
  <si>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</si>
  <si>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</si>
  <si>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</si>
  <si>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</si>
  <si>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</si>
  <si>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</si>
  <si>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</si>
  <si>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</si>
  <si>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</si>
  <si>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</si>
  <si>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</si>
  <si>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</si>
  <si>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</si>
  <si>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</si>
  <si>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</si>
  <si>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</si>
  <si>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</si>
  <si>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</si>
  <si>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</si>
  <si>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</si>
  <si>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</si>
  <si>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</si>
  <si>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</si>
  <si>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</si>
  <si>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</si>
  <si>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</si>
  <si>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</si>
  <si>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</si>
  <si>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</si>
  <si>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</si>
  <si>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</si>
  <si>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</si>
  <si>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</si>
  <si>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</si>
  <si>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</si>
  <si>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</si>
  <si>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</si>
  <si>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</si>
  <si>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</si>
  <si>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</si>
  <si>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</si>
  <si>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</si>
  <si>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</si>
  <si>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</si>
  <si>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</si>
  <si>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</si>
  <si>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</si>
  <si>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</si>
  <si>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</si>
  <si>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</si>
  <si>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</si>
  <si>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</si>
  <si>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</si>
  <si>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</si>
  <si>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</si>
  <si>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</si>
  <si>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</si>
  <si>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</si>
  <si>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</si>
  <si>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</si>
  <si>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</si>
  <si>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</si>
  <si>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</si>
  <si>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</si>
  <si>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</si>
  <si>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</si>
  <si>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</si>
  <si>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</si>
  <si>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</si>
  <si>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</si>
  <si>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</si>
  <si>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</si>
  <si>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</si>
  <si>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</si>
  <si>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</si>
  <si>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</si>
  <si>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</si>
  <si>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</si>
  <si>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</si>
  <si>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</si>
  <si>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</si>
  <si>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</si>
  <si>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</si>
  <si>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</si>
  <si>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</si>
  <si>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</si>
  <si>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</si>
  <si>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</si>
  <si>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</si>
  <si>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</si>
  <si>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</si>
  <si>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</si>
  <si>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</si>
  <si>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</si>
  <si>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</si>
  <si>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</si>
  <si>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</si>
  <si>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</si>
  <si>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</si>
  <si>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</si>
  <si>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</si>
  <si>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</si>
  <si>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</si>
  <si>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</si>
  <si>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</si>
  <si>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</si>
  <si>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</si>
  <si>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</si>
  <si>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</si>
  <si>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</si>
  <si>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</si>
  <si>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</si>
  <si>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</si>
  <si>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</si>
  <si>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</si>
  <si>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</si>
  <si>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</si>
  <si>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</si>
  <si>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</si>
  <si>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</si>
  <si>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</si>
  <si>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</si>
  <si>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</si>
  <si>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</si>
  <si>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</si>
  <si>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</si>
  <si>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</si>
  <si>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</si>
  <si>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</si>
  <si>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</si>
  <si>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</si>
  <si>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</si>
  <si>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</si>
  <si>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</si>
  <si>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</si>
  <si>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</si>
  <si>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</si>
  <si>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</si>
  <si>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</si>
  <si>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</si>
  <si>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</si>
  <si>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</si>
  <si>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</si>
  <si>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</si>
  <si>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</si>
  <si>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</si>
  <si>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</si>
  <si>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</si>
  <si>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</si>
  <si>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</si>
  <si>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</si>
  <si>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</si>
  <si>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</si>
  <si>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</si>
  <si>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</si>
  <si>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</si>
  <si>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</si>
  <si>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</si>
  <si>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</si>
  <si>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</si>
  <si>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</si>
  <si>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</si>
  <si>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</si>
  <si>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</si>
  <si>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</si>
  <si>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</si>
  <si>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</si>
  <si>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</si>
  <si>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</si>
  <si>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</si>
  <si>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</si>
  <si>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</si>
  <si>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</si>
  <si>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</si>
  <si>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</si>
  <si>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</si>
  <si>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</si>
  <si>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</si>
  <si>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</si>
  <si>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</si>
  <si>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</si>
  <si>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</si>
  <si>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</si>
  <si>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</si>
  <si>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</si>
  <si>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</si>
  <si>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</si>
  <si>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</si>
  <si>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</si>
  <si>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</si>
  <si>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</si>
  <si>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</si>
  <si>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</si>
  <si>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</si>
  <si>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</si>
  <si>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</si>
  <si>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</si>
  <si>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</si>
  <si>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</si>
  <si>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</si>
  <si>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</si>
  <si>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</si>
  <si>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</si>
  <si>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</si>
  <si>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</si>
  <si>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</si>
  <si>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</si>
  <si>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</si>
  <si>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</si>
  <si>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</si>
  <si>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</si>
  <si>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</si>
  <si>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</si>
  <si>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</si>
  <si>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</si>
  <si>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</si>
  <si>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</si>
  <si>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</si>
  <si>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</si>
  <si>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</si>
  <si>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</si>
  <si>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</si>
  <si>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</si>
  <si>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</si>
  <si>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</si>
  <si>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</si>
  <si>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</si>
  <si>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</si>
  <si>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</si>
  <si>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</si>
  <si>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</si>
  <si>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</si>
  <si>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</si>
  <si>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</si>
  <si>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</si>
  <si>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</si>
  <si>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</si>
  <si>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</si>
  <si>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</si>
  <si>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</si>
  <si>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</si>
  <si>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</si>
  <si>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</si>
  <si>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</si>
  <si>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</si>
  <si>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</si>
  <si>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</si>
  <si>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</si>
  <si>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</si>
  <si>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</si>
  <si>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</si>
  <si>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</si>
  <si>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</si>
  <si>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</si>
  <si>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</si>
  <si>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</si>
  <si>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</si>
  <si>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</si>
  <si>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</si>
  <si>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</si>
  <si>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</si>
  <si>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</si>
  <si>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</si>
  <si>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</si>
  <si>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</si>
  <si>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</si>
  <si>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</si>
  <si>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</si>
  <si>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</si>
  <si>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</si>
  <si>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</si>
  <si>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</si>
  <si>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</si>
  <si>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</si>
  <si>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</si>
  <si>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</si>
  <si>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</si>
  <si>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</si>
  <si>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</si>
  <si>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</si>
  <si>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</si>
  <si>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</si>
  <si>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</si>
  <si>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</si>
  <si>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</si>
  <si>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</si>
  <si>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</si>
  <si>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</si>
  <si>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</si>
  <si>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</si>
  <si>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</si>
  <si>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</si>
  <si>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</si>
  <si>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</si>
  <si>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</si>
  <si>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</si>
  <si>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</si>
  <si>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</si>
  <si>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</si>
  <si>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</si>
  <si>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</si>
  <si>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</si>
  <si>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</si>
  <si>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</si>
  <si>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</si>
  <si>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</si>
  <si>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</si>
  <si>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</si>
  <si>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</si>
  <si>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</si>
  <si>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</si>
  <si>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</si>
  <si>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</si>
  <si>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</si>
  <si>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</si>
  <si>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</si>
  <si>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</si>
  <si>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</si>
  <si>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</si>
  <si>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</si>
  <si>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</si>
  <si>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</si>
  <si>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</si>
  <si>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</si>
  <si>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</si>
  <si>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</si>
  <si>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</si>
  <si>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</si>
  <si>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</si>
  <si>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</si>
  <si>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</si>
  <si>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</si>
  <si>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</si>
  <si>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</si>
  <si>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</si>
  <si>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</si>
  <si>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</si>
  <si>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</si>
  <si>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</si>
  <si>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</si>
  <si>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</si>
  <si>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</si>
  <si>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</si>
  <si>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</si>
  <si>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</si>
  <si>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</si>
  <si>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</si>
  <si>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</si>
  <si>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</si>
  <si>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</si>
  <si>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</si>
  <si>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</si>
  <si>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</si>
  <si>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</si>
  <si>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</si>
  <si>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</si>
  <si>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</si>
  <si>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</si>
  <si>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</si>
  <si>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</si>
  <si>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</si>
  <si>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</si>
  <si>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</si>
  <si>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</si>
  <si>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</si>
  <si>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</si>
  <si>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</si>
  <si>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</si>
  <si>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</si>
  <si>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</si>
  <si>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</si>
  <si>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</si>
  <si>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</si>
  <si>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</si>
  <si>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</si>
  <si>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</si>
  <si>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</si>
  <si>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</si>
  <si>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</si>
  <si>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</si>
  <si>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</si>
  <si>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</si>
  <si>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</si>
  <si>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</si>
  <si>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</si>
  <si>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</si>
  <si>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</si>
  <si>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</si>
  <si>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</si>
  <si>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</si>
  <si>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</si>
  <si>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</si>
  <si>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</si>
  <si>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</si>
  <si>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</si>
  <si>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</si>
  <si>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</si>
  <si>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</si>
  <si>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</si>
  <si>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</si>
  <si>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</si>
  <si>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</si>
  <si>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</si>
  <si>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</si>
  <si>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</si>
  <si>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</si>
  <si>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</si>
  <si>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</si>
  <si>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</si>
  <si>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</si>
  <si>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</si>
  <si>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</si>
  <si>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</si>
  <si>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</si>
  <si>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</si>
  <si>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</si>
  <si>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</si>
  <si>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</si>
  <si>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</si>
  <si>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</si>
  <si>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</si>
  <si>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</si>
  <si>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</si>
  <si>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</si>
  <si>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</si>
  <si>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</si>
  <si>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</si>
  <si>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</si>
  <si>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</si>
  <si>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</si>
  <si>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</si>
  <si>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</si>
  <si>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</si>
  <si>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</si>
  <si>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</si>
  <si>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</si>
  <si>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</si>
  <si>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</si>
  <si>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</si>
  <si>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</si>
  <si>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</si>
  <si>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</si>
  <si>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</si>
  <si>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</si>
  <si>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</si>
  <si>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</si>
  <si>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</si>
  <si>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</si>
  <si>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</si>
  <si>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</si>
  <si>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</si>
  <si>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</si>
  <si>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</si>
  <si>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</si>
  <si>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</si>
  <si>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</si>
  <si>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</si>
  <si>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</si>
  <si>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</si>
  <si>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</si>
  <si>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</si>
  <si>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</si>
  <si>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</si>
  <si>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</si>
  <si>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</si>
  <si>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</si>
  <si>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</si>
  <si>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</si>
  <si>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</si>
  <si>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</si>
  <si>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</si>
  <si>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</si>
  <si>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</si>
  <si>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</si>
  <si>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</si>
  <si>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</si>
  <si>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</si>
  <si>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</si>
  <si>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</si>
  <si>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</si>
  <si>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</si>
  <si>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</si>
  <si>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</si>
  <si>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</si>
  <si>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</si>
  <si>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</si>
  <si>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</si>
  <si>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</si>
  <si>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</si>
  <si>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</si>
  <si>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</si>
  <si>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</si>
  <si>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</si>
  <si>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</si>
  <si>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</si>
  <si>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</si>
  <si>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</si>
  <si>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</si>
  <si>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</si>
  <si>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</si>
  <si>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</si>
  <si>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</si>
  <si>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</si>
  <si>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</si>
  <si>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</si>
  <si>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</si>
  <si>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</si>
  <si>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</si>
  <si>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</si>
  <si>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</si>
  <si>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</si>
  <si>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</si>
  <si>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</si>
  <si>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</si>
  <si>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</si>
  <si>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</si>
  <si>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</si>
  <si>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</si>
  <si>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</si>
  <si>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</si>
  <si>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</si>
  <si>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</si>
  <si>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</si>
  <si>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</si>
  <si>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</si>
  <si>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</si>
  <si>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</si>
  <si>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</si>
  <si>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</si>
  <si>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</si>
  <si>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</si>
  <si>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</si>
  <si>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</si>
  <si>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</si>
  <si>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</si>
  <si>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</si>
  <si>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</si>
  <si>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</si>
  <si>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</si>
  <si>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</si>
  <si>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</si>
  <si>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</si>
  <si>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</si>
  <si>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</si>
  <si>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</si>
  <si>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</si>
  <si>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</si>
  <si>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</si>
  <si>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</si>
  <si>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</si>
  <si>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</si>
  <si>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</si>
  <si>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</si>
  <si>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</si>
  <si>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</si>
  <si>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</si>
  <si>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</si>
  <si>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</si>
  <si>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</si>
  <si>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</si>
  <si>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</si>
  <si>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</si>
  <si>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</si>
  <si>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</si>
  <si>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</si>
  <si>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</si>
  <si>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</si>
  <si>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</si>
  <si>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</si>
  <si>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</si>
  <si>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</si>
  <si>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</si>
  <si>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</si>
  <si>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</si>
  <si>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</si>
  <si>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</si>
  <si>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</si>
  <si>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</si>
  <si>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</si>
  <si>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</si>
  <si>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</si>
  <si>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</si>
  <si>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</si>
  <si>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</si>
  <si>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</si>
  <si>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</si>
  <si>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</si>
  <si>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</si>
  <si>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</si>
  <si>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</si>
  <si>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</si>
  <si>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</si>
  <si>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</si>
  <si>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</si>
  <si>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</si>
  <si>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</si>
  <si>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</si>
  <si>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</si>
  <si>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</si>
  <si>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</si>
  <si>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</si>
  <si>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</si>
  <si>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</si>
  <si>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</si>
  <si>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</si>
  <si>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</si>
  <si>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</si>
  <si>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</si>
  <si>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</si>
  <si>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</si>
  <si>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</si>
  <si>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</si>
  <si>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</si>
  <si>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</si>
  <si>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</si>
  <si>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</si>
  <si>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</si>
  <si>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</si>
  <si>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</si>
  <si>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</si>
  <si>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</si>
  <si>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</si>
  <si>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</si>
  <si>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</si>
  <si>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</si>
  <si>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</si>
  <si>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</si>
  <si>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</si>
  <si>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</si>
  <si>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</si>
  <si>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</si>
  <si>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</si>
  <si>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</si>
  <si>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</si>
  <si>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</si>
  <si>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</si>
  <si>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</si>
  <si>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</si>
  <si>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</si>
  <si>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</si>
  <si>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</si>
  <si>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</si>
  <si>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</si>
  <si>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</si>
  <si>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</si>
  <si>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</si>
  <si>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</si>
  <si>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</si>
  <si>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</si>
  <si>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</si>
  <si>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</si>
  <si>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</si>
  <si>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</si>
  <si>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</si>
  <si>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</si>
  <si>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</si>
  <si>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</si>
  <si>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</si>
  <si>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</si>
  <si>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</si>
  <si>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</si>
  <si>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</si>
  <si>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</si>
  <si>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</si>
  <si>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</si>
  <si>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</si>
  <si>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</si>
  <si>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</si>
  <si>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</si>
  <si>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</si>
  <si>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</si>
  <si>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</si>
  <si>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</si>
  <si>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</si>
  <si>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</si>
  <si>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</si>
  <si>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</si>
  <si>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</si>
  <si>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</si>
  <si>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</si>
  <si>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</si>
  <si>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</si>
  <si>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</si>
  <si>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</si>
  <si>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</si>
  <si>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</si>
  <si>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</si>
  <si>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</si>
  <si>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</si>
  <si>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</si>
  <si>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</si>
  <si>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</si>
  <si>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</si>
  <si>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</si>
  <si>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</si>
  <si>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</si>
  <si>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</si>
  <si>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</si>
  <si>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</si>
  <si>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</si>
  <si>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</si>
  <si>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</si>
  <si>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</si>
  <si>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</si>
  <si>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</si>
  <si>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</si>
  <si>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</si>
  <si>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</si>
  <si>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</si>
  <si>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</si>
  <si>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</si>
  <si>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</si>
  <si>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</si>
  <si>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</si>
  <si>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</si>
  <si>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</si>
  <si>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</si>
  <si>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</si>
  <si>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</si>
  <si>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</si>
  <si>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</si>
  <si>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</si>
  <si>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</si>
  <si>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</si>
  <si>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</si>
  <si>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</si>
  <si>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</si>
  <si>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</si>
  <si>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</si>
  <si>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</si>
  <si>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</si>
  <si>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</si>
  <si>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</si>
  <si>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</si>
  <si>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</si>
  <si>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</si>
  <si>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</si>
  <si>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</si>
  <si>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</si>
  <si>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</si>
  <si>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</si>
  <si>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</si>
  <si>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</si>
  <si>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</si>
  <si>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</si>
  <si>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</si>
  <si>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</si>
  <si>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</si>
  <si>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</si>
  <si>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</si>
  <si>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</si>
  <si>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</si>
  <si>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</si>
  <si>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</si>
  <si>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</si>
  <si>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</si>
  <si>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</si>
  <si>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</si>
  <si>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</si>
  <si>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</si>
  <si>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</si>
  <si>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</si>
  <si>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</si>
  <si>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</si>
  <si>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</si>
  <si>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</si>
  <si>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</si>
  <si>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</si>
  <si>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</si>
  <si>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</si>
  <si>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</si>
  <si>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</si>
  <si>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</si>
  <si>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</si>
  <si>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</si>
  <si>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</si>
  <si>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</si>
  <si>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</si>
  <si>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</si>
  <si>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</si>
  <si>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</si>
  <si>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</si>
  <si>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</si>
  <si>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</si>
  <si>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</si>
  <si>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</si>
  <si>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</si>
  <si>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</si>
  <si>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</si>
  <si>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</si>
  <si>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</si>
  <si>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</si>
  <si>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</si>
  <si>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</si>
  <si>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</si>
  <si>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</si>
  <si>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</si>
  <si>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</si>
  <si>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</si>
  <si>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</si>
  <si>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</si>
  <si>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</si>
  <si>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</si>
  <si>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</si>
  <si>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</si>
  <si>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</si>
  <si>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</si>
  <si>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</si>
  <si>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</si>
  <si>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</si>
  <si>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</si>
  <si>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</si>
  <si>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</si>
  <si>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</si>
  <si>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</si>
  <si>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</si>
  <si>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</si>
  <si>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</si>
  <si>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</si>
  <si>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</si>
  <si>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</si>
  <si>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</si>
  <si>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</si>
  <si>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</si>
  <si>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</si>
  <si>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</si>
  <si>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</si>
  <si>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</si>
  <si>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</si>
  <si>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</si>
  <si>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</si>
  <si>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</si>
  <si>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</si>
  <si>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</si>
  <si>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</si>
  <si>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</si>
  <si>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</si>
  <si>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</si>
  <si>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</si>
  <si>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</si>
  <si>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</si>
  <si>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</si>
  <si>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</si>
  <si>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</si>
  <si>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</si>
  <si>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</si>
  <si>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</si>
  <si>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</si>
  <si>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</si>
  <si>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</si>
  <si>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</si>
  <si>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</si>
  <si>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</si>
  <si>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</si>
  <si>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</si>
  <si>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</si>
  <si>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</si>
  <si>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</si>
  <si>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</si>
  <si>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</si>
  <si>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</si>
  <si>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</si>
  <si>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</si>
  <si>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</si>
  <si>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</si>
  <si>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</si>
  <si>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</si>
  <si>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</si>
  <si>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</si>
  <si>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</si>
  <si>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</si>
  <si>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</si>
  <si>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</si>
  <si>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</si>
  <si>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</si>
  <si>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</si>
  <si>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</si>
  <si>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</si>
  <si>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</si>
  <si>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</si>
  <si>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</si>
  <si>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</si>
  <si>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</si>
  <si>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</si>
  <si>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</si>
  <si>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</si>
  <si>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</si>
  <si>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</si>
  <si>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</si>
  <si>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</si>
  <si>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</si>
  <si>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</si>
  <si>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</si>
  <si>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</si>
  <si>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</si>
  <si>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</si>
  <si>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</si>
  <si>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</si>
  <si>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</si>
  <si>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</si>
  <si>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</si>
  <si>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</si>
  <si>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</si>
  <si>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</si>
  <si>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</si>
  <si>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</si>
  <si>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</si>
  <si>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</si>
  <si>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</si>
  <si>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</si>
  <si>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</si>
  <si>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</si>
  <si>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</si>
  <si>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</si>
  <si>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</si>
  <si>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</si>
  <si>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</si>
  <si>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</si>
  <si>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</si>
  <si>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</si>
  <si>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</si>
  <si>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</si>
  <si>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</si>
  <si>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</si>
  <si>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</si>
  <si>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</si>
  <si>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</si>
  <si>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</si>
  <si>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</si>
  <si>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</si>
  <si>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</si>
  <si>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</si>
  <si>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</si>
  <si>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</si>
  <si>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</si>
  <si>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</si>
  <si>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</si>
  <si>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</si>
  <si>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</si>
  <si>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</si>
  <si>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</si>
  <si>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</si>
  <si>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</si>
  <si>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</si>
  <si>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</si>
  <si>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</si>
  <si>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</si>
  <si>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</si>
  <si>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</si>
  <si>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</si>
  <si>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</si>
  <si>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</si>
  <si>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</si>
  <si>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</si>
  <si>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</si>
  <si>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</si>
  <si>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</si>
  <si>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</si>
  <si>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</si>
  <si>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</si>
  <si>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</si>
  <si>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</si>
  <si>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</si>
  <si>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</si>
  <si>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</si>
  <si>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</si>
  <si>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</si>
  <si>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</si>
  <si>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</si>
  <si>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</si>
  <si>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</si>
  <si>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</si>
  <si>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</si>
  <si>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</si>
  <si>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</si>
  <si>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</si>
  <si>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</si>
  <si>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</si>
  <si>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</si>
  <si>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</si>
  <si>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</si>
  <si>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</si>
  <si>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</si>
  <si>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</si>
  <si>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</si>
  <si>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</si>
  <si>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</si>
  <si>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</si>
  <si>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</si>
  <si>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</si>
  <si>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</si>
  <si>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</si>
  <si>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</si>
  <si>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</si>
  <si>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</si>
  <si>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</si>
  <si>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</si>
  <si>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</si>
  <si>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</si>
  <si>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</si>
  <si>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</si>
  <si>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</si>
  <si>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</si>
  <si>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</si>
  <si>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</si>
  <si>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</si>
  <si>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</si>
  <si>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</si>
  <si>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</si>
  <si>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</si>
  <si>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</si>
  <si>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</si>
  <si>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</si>
  <si>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</si>
  <si>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</si>
  <si>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</si>
  <si>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</si>
  <si>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</si>
  <si>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</si>
  <si>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</si>
  <si>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</si>
  <si>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</si>
  <si>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</si>
  <si>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</si>
  <si>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</si>
  <si>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</si>
  <si>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</si>
  <si>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</si>
  <si>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</si>
  <si>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</si>
  <si>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</si>
  <si>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</si>
  <si>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</si>
  <si>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</si>
  <si>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</si>
  <si>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</si>
  <si>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</si>
  <si>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</si>
  <si>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</si>
  <si>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</si>
  <si>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</si>
  <si>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</si>
  <si>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</si>
  <si>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</si>
  <si>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</si>
  <si>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</si>
  <si>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</si>
  <si>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</si>
  <si>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</si>
  <si>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</si>
  <si>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</si>
  <si>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</si>
  <si>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</si>
  <si>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</si>
  <si>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</si>
  <si>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</si>
  <si>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</si>
  <si>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</si>
  <si>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</si>
  <si>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</si>
  <si>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</si>
  <si>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</si>
  <si>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</si>
  <si>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</si>
  <si>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</si>
  <si>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</si>
  <si>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</si>
  <si>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</si>
  <si>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</si>
  <si>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</si>
  <si>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</si>
  <si>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</si>
  <si>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</si>
  <si>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</si>
  <si>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</si>
  <si>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</si>
  <si>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</si>
  <si>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</si>
  <si>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</si>
  <si>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</si>
  <si>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</si>
  <si>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</si>
  <si>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</si>
  <si>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</si>
  <si>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</si>
  <si>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</si>
  <si>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</si>
  <si>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</si>
  <si>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</si>
  <si>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</si>
  <si>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</si>
  <si>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</si>
  <si>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</si>
  <si>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</si>
  <si>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</si>
  <si>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</si>
  <si>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</si>
  <si>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</si>
  <si>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</si>
  <si>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</si>
  <si>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</si>
  <si>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</si>
  <si>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</si>
  <si>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</si>
  <si>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</si>
  <si>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</si>
  <si>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</si>
  <si>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</si>
  <si>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</si>
  <si>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</si>
  <si>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</si>
  <si>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</si>
  <si>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</si>
  <si>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</si>
  <si>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</si>
  <si>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</si>
  <si>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</si>
  <si>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</si>
  <si>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</si>
  <si>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</si>
  <si>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</si>
  <si>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</si>
  <si>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</si>
  <si>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</si>
  <si>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</si>
  <si>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</si>
  <si>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</si>
  <si>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</si>
  <si>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</si>
  <si>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</si>
  <si>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</si>
  <si>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</si>
  <si>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</si>
  <si>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</si>
  <si>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</si>
  <si>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</si>
  <si>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</si>
  <si>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</si>
  <si>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</si>
  <si>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</si>
  <si>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</si>
  <si>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</si>
  <si>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</si>
  <si>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</si>
  <si>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</si>
  <si>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</si>
  <si>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</si>
  <si>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</si>
  <si>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</si>
  <si>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</si>
  <si>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</si>
  <si>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</si>
  <si>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</si>
  <si>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</si>
  <si>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</si>
  <si>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</si>
  <si>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</si>
  <si>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</si>
  <si>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</si>
  <si>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</si>
  <si>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</si>
  <si>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</si>
  <si>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</si>
  <si>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</si>
  <si>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</si>
  <si>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</si>
  <si>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</si>
  <si>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</si>
  <si>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</si>
  <si>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</si>
  <si>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</si>
  <si>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</si>
  <si>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</si>
  <si>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</si>
  <si>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</si>
  <si>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</si>
  <si>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</si>
  <si>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</si>
  <si>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</si>
  <si>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</si>
  <si>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</si>
  <si>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</si>
  <si>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</si>
  <si>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</si>
  <si>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</si>
  <si>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</si>
  <si>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</si>
  <si>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</si>
  <si>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</si>
  <si>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</si>
  <si>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</si>
  <si>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</si>
  <si>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</si>
  <si>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</si>
  <si>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</si>
  <si>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</si>
  <si>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</si>
  <si>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</si>
  <si>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</si>
  <si>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</si>
  <si>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</si>
  <si>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</si>
  <si>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</si>
  <si>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</si>
  <si>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</si>
  <si>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</si>
  <si>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</si>
  <si>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</si>
  <si>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</si>
  <si>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</si>
  <si>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</si>
  <si>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</si>
  <si>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</si>
  <si>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</si>
  <si>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</si>
  <si>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</si>
  <si>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</si>
  <si>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</si>
  <si>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</si>
  <si>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</si>
  <si>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</si>
  <si>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</si>
  <si>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</si>
  <si>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</si>
  <si>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</si>
  <si>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</si>
  <si>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</si>
  <si>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</si>
  <si>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</si>
  <si>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</si>
  <si>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</si>
  <si>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</si>
  <si>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</si>
  <si>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</si>
  <si>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</si>
  <si>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</si>
  <si>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</si>
  <si>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</si>
  <si>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</si>
  <si>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</si>
  <si>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</si>
  <si>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</si>
  <si>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</si>
  <si>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</si>
  <si>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</si>
  <si>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</si>
  <si>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</si>
  <si>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</si>
  <si>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</si>
  <si>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</si>
  <si>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</si>
  <si>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</si>
  <si>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</si>
  <si>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</si>
  <si>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</si>
  <si>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</si>
  <si>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</si>
  <si>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</si>
  <si>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</si>
  <si>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</si>
  <si>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</si>
  <si>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</si>
  <si>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</si>
  <si>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</si>
  <si>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</si>
  <si>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</si>
  <si>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</si>
  <si>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</si>
  <si>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</si>
  <si>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</si>
  <si>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</si>
  <si>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</si>
  <si>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</si>
  <si>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</si>
  <si>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</si>
  <si>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</si>
  <si>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</si>
  <si>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</si>
  <si>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</si>
  <si>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</si>
  <si>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</si>
  <si>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</si>
  <si>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</si>
  <si>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</si>
  <si>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</si>
  <si>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</si>
  <si>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</si>
  <si>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</si>
  <si>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</si>
  <si>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</si>
  <si>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</si>
  <si>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</si>
  <si>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</si>
  <si>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</si>
  <si>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</si>
  <si>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</si>
  <si>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</si>
  <si>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</si>
  <si>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</si>
  <si>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</si>
  <si>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</si>
  <si>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</si>
  <si>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</si>
  <si>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</si>
  <si>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</si>
  <si>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</si>
  <si>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</si>
  <si>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</si>
  <si>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</si>
  <si>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</si>
  <si>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</si>
  <si>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</si>
  <si>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</si>
  <si>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</si>
  <si>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</si>
  <si>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</si>
  <si>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</si>
  <si>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</si>
  <si>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</si>
  <si>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</si>
  <si>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</si>
  <si>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</si>
  <si>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</si>
  <si>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</si>
  <si>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</si>
  <si>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</si>
  <si>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</si>
  <si>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</si>
  <si>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</si>
  <si>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</si>
  <si>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</si>
  <si>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</si>
  <si>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</si>
  <si>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</si>
  <si>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</si>
  <si>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</si>
  <si>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</si>
  <si>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</si>
  <si>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</si>
  <si>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</si>
  <si>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</si>
  <si>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</si>
  <si>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</si>
  <si>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</si>
  <si>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</si>
  <si>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</si>
  <si>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</si>
  <si>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</si>
  <si>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</si>
  <si>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</si>
  <si>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</si>
  <si>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</si>
  <si>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</si>
  <si>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</si>
  <si>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</si>
  <si>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</si>
  <si>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</si>
  <si>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</si>
  <si>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</si>
  <si>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</si>
  <si>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</si>
  <si>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</si>
  <si>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</si>
  <si>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</si>
  <si>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</si>
  <si>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</si>
  <si>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</si>
  <si>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</si>
  <si>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</si>
  <si>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</si>
  <si>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</si>
  <si>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</si>
  <si>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</si>
  <si>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</si>
  <si>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</si>
  <si>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</si>
  <si>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</si>
  <si>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</si>
  <si>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</si>
  <si>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</si>
  <si>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</si>
  <si>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</si>
  <si>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</si>
  <si>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</si>
  <si>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</si>
  <si>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</si>
  <si>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</si>
  <si>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</si>
  <si>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</si>
  <si>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</si>
  <si>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</si>
  <si>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</si>
  <si>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</si>
  <si>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</si>
  <si>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</si>
  <si>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</si>
  <si>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</si>
  <si>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</si>
  <si>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</si>
  <si>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</si>
  <si>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</si>
  <si>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</si>
  <si>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</si>
  <si>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</si>
  <si>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</si>
  <si>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</si>
  <si>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</si>
  <si>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</si>
  <si>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</si>
  <si>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</si>
  <si>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</si>
  <si>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</si>
  <si>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</si>
  <si>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</si>
  <si>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</si>
  <si>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</si>
  <si>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</si>
  <si>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</si>
  <si>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</si>
  <si>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</si>
  <si>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</si>
  <si>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</si>
  <si>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</si>
  <si>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</si>
  <si>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</si>
  <si>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</si>
  <si>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</si>
  <si>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</si>
  <si>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</si>
  <si>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</si>
  <si>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</si>
  <si>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</si>
  <si>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</si>
  <si>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</si>
  <si>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</si>
  <si>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</si>
  <si>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</si>
  <si>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</si>
  <si>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</si>
  <si>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</si>
  <si>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</si>
  <si>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</si>
  <si>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</si>
  <si>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</si>
  <si>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</si>
  <si>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</si>
  <si>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</si>
  <si>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</si>
  <si>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</si>
  <si>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</si>
  <si>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</si>
  <si>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</si>
  <si>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</si>
  <si>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</si>
  <si>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</si>
  <si>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</si>
  <si>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</si>
  <si>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</si>
  <si>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</si>
  <si>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</si>
  <si>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</si>
  <si>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</si>
  <si>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</si>
  <si>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</si>
  <si>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</si>
  <si>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</si>
  <si>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</si>
  <si>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</si>
  <si>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</si>
  <si>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</si>
  <si>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</si>
  <si>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</si>
  <si>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</si>
  <si>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</si>
  <si>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</si>
  <si>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</si>
  <si>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</si>
  <si>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</si>
  <si>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</si>
  <si>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</si>
  <si>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</si>
  <si>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</si>
  <si>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</si>
  <si>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</si>
  <si>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</si>
  <si>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</si>
  <si>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</si>
  <si>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</si>
  <si>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</si>
  <si>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</si>
  <si>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</si>
  <si>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</si>
  <si>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</si>
  <si>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</si>
  <si>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</si>
  <si>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</si>
  <si>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</si>
  <si>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</si>
  <si>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</si>
  <si>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</si>
  <si>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</si>
  <si>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</si>
  <si>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</si>
  <si>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</si>
  <si>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</si>
  <si>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</si>
  <si>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</si>
  <si>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</si>
  <si>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</si>
  <si>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</si>
  <si>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</si>
  <si>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</si>
  <si>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</si>
  <si>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</si>
  <si>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</si>
  <si>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</si>
  <si>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</si>
  <si>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</si>
  <si>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</si>
  <si>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</si>
  <si>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</si>
  <si>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</si>
  <si>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</si>
  <si>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</si>
  <si>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</si>
  <si>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</si>
  <si>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</si>
  <si>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</si>
  <si>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</si>
  <si>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</si>
  <si>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</si>
  <si>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</si>
  <si>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</si>
  <si>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</si>
  <si>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</si>
  <si>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</si>
  <si>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</si>
  <si>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</si>
  <si>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</si>
  <si>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</si>
  <si>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</si>
  <si>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</si>
  <si>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</si>
  <si>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</si>
  <si>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</si>
  <si>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</si>
  <si>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</si>
  <si>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</si>
  <si>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</si>
  <si>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</si>
  <si>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</si>
  <si>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</si>
  <si>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</si>
  <si>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</si>
  <si>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</si>
  <si>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</si>
  <si>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</si>
  <si>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</si>
  <si>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</si>
  <si>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</si>
  <si>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</si>
  <si>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</si>
  <si>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</si>
  <si>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</si>
  <si>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</si>
  <si>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</si>
  <si>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</si>
  <si>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</si>
  <si>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</si>
  <si>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</si>
  <si>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</si>
  <si>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</si>
  <si>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</si>
  <si>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</si>
  <si>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</si>
  <si>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</si>
  <si>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</si>
  <si>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</si>
  <si>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</si>
  <si>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</si>
  <si>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</si>
  <si>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</si>
  <si>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</si>
  <si>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</si>
  <si>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</si>
  <si>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</si>
  <si>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</si>
  <si>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</si>
  <si>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</si>
  <si>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</si>
  <si>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</si>
  <si>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</si>
  <si>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</si>
  <si>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</si>
  <si>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</si>
  <si>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</si>
  <si>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</si>
  <si>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</si>
  <si>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</si>
  <si>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</si>
  <si>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</si>
  <si>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</si>
  <si>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</si>
  <si>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</si>
  <si>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</si>
  <si>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</si>
  <si>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</si>
  <si>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</si>
  <si>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</si>
  <si>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</si>
  <si>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</si>
  <si>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</si>
  <si>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</si>
  <si>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</si>
  <si>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</si>
  <si>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</si>
  <si>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</si>
  <si>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</si>
  <si>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</si>
  <si>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</si>
  <si>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</si>
  <si>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</si>
  <si>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</si>
  <si>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</si>
  <si>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</si>
  <si>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</si>
  <si>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</si>
  <si>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</si>
  <si>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</si>
  <si>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</si>
  <si>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</si>
  <si>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</si>
  <si>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</si>
  <si>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</si>
  <si>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</si>
  <si>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</si>
  <si>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</si>
  <si>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</si>
  <si>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</si>
  <si>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</si>
  <si>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</si>
  <si>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</si>
  <si>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</si>
  <si>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</si>
  <si>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</si>
  <si>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</si>
  <si>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</si>
  <si>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</si>
  <si>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</si>
  <si>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</si>
  <si>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</si>
  <si>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</si>
  <si>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</si>
  <si>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</si>
  <si>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</si>
  <si>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</si>
  <si>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</si>
  <si>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</si>
  <si>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</si>
  <si>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</si>
  <si>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</si>
  <si>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</si>
  <si>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</si>
  <si>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</si>
  <si>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</si>
  <si>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</si>
  <si>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</si>
  <si>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</si>
  <si>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</si>
  <si>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</si>
  <si>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</si>
  <si>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</si>
  <si>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</si>
  <si>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</si>
  <si>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</si>
  <si>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</si>
  <si>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</si>
  <si>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</si>
  <si>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</si>
  <si>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</si>
  <si>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</si>
  <si>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</si>
  <si>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</si>
  <si>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</si>
  <si>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</si>
  <si>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</si>
  <si>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</si>
  <si>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</si>
  <si>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</si>
  <si>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</si>
  <si>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</si>
  <si>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</si>
  <si>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</si>
  <si>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</si>
  <si>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</si>
  <si>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</si>
  <si>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</si>
  <si>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</si>
  <si>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</si>
  <si>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</si>
  <si>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</si>
  <si>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</si>
  <si>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</si>
  <si>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</si>
  <si>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</si>
  <si>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</si>
  <si>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</si>
  <si>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</si>
  <si>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</si>
  <si>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</si>
  <si>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</si>
  <si>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</si>
  <si>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</si>
  <si>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</si>
  <si>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</si>
  <si>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</si>
  <si>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</si>
  <si>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</si>
  <si>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</si>
  <si>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</si>
  <si>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</si>
  <si>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</si>
  <si>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</si>
  <si>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</si>
  <si>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</si>
  <si>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</si>
  <si>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</si>
  <si>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</si>
  <si>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</si>
  <si>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</si>
  <si>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</si>
  <si>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</si>
  <si>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</si>
  <si>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</si>
  <si>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</si>
  <si>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</si>
  <si>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</si>
  <si>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</si>
  <si>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</si>
  <si>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</si>
  <si>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</si>
  <si>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</si>
  <si>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</si>
  <si>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</si>
  <si>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</si>
  <si>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</si>
  <si>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</si>
  <si>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</si>
  <si>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</si>
  <si>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</si>
  <si>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</si>
  <si>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</si>
  <si>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</si>
  <si>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</si>
  <si>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</si>
  <si>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</si>
  <si>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</si>
  <si>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</si>
  <si>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</si>
  <si>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</si>
  <si>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</si>
  <si>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</si>
  <si>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</si>
  <si>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</si>
  <si>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</si>
  <si>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</si>
  <si>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</si>
  <si>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</si>
  <si>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</si>
  <si>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</si>
  <si>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</si>
  <si>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</si>
  <si>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</si>
  <si>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</si>
  <si>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</si>
  <si>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</si>
  <si>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</si>
  <si>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</si>
  <si>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</si>
  <si>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</si>
  <si>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</si>
  <si>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</si>
  <si>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</si>
  <si>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</si>
  <si>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</si>
  <si>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</si>
  <si>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</si>
  <si>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</si>
  <si>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</si>
  <si>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</si>
  <si>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</si>
  <si>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</si>
  <si>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</si>
  <si>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</si>
  <si>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</si>
  <si>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</si>
  <si>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</si>
  <si>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</si>
  <si>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</si>
  <si>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</si>
  <si>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</si>
  <si>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</si>
  <si>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</si>
  <si>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</si>
  <si>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</si>
  <si>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</si>
  <si>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</si>
  <si>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</si>
  <si>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</si>
  <si>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</si>
  <si>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</si>
  <si>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</si>
  <si>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</si>
  <si>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</si>
  <si>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</si>
  <si>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</si>
  <si>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</si>
  <si>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</si>
  <si>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</si>
  <si>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</si>
  <si>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</si>
  <si>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</si>
  <si>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</si>
  <si>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</si>
  <si>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</si>
  <si>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</si>
  <si>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</si>
  <si>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</si>
  <si>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</si>
  <si>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</si>
  <si>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</si>
  <si>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</si>
  <si>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</si>
  <si>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</si>
  <si>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</si>
  <si>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</si>
  <si>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</si>
  <si>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</si>
  <si>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</si>
  <si>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</si>
  <si>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</si>
  <si>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</si>
  <si>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</si>
  <si>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</si>
  <si>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</si>
  <si>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</si>
  <si>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</si>
  <si>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</si>
  <si>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</si>
  <si>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</si>
  <si>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</si>
  <si>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</si>
  <si>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</si>
  <si>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</si>
  <si>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</si>
  <si>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</si>
  <si>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</si>
  <si>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</si>
  <si>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</si>
  <si>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</si>
  <si>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</si>
  <si>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</si>
  <si>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</si>
  <si>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</si>
  <si>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</si>
  <si>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</si>
  <si>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</si>
  <si>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</si>
  <si>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</si>
  <si>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</si>
  <si>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</si>
  <si>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</si>
  <si>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</si>
  <si>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</si>
  <si>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</si>
  <si>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</si>
  <si>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</si>
  <si>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</si>
  <si>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</si>
  <si>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</si>
  <si>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</si>
  <si>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</si>
  <si>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</si>
  <si>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</si>
  <si>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</si>
  <si>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</si>
  <si>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</si>
  <si>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</si>
  <si>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</si>
  <si>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</si>
  <si>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</si>
  <si>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</si>
  <si>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</si>
  <si>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</si>
  <si>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</si>
  <si>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</si>
  <si>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</si>
  <si>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</si>
  <si>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</si>
  <si>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</si>
  <si>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</si>
  <si>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</si>
  <si>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</si>
  <si>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</si>
  <si>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</si>
  <si>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</si>
  <si>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</si>
  <si>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</si>
  <si>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</si>
  <si>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</si>
  <si>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</si>
  <si>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</si>
  <si>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</si>
  <si>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</si>
  <si>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</si>
  <si>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</si>
  <si>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</si>
  <si>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</si>
  <si>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</si>
  <si>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</si>
  <si>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</si>
  <si>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</si>
  <si>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</si>
  <si>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</si>
  <si>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</si>
  <si>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</si>
  <si>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</si>
  <si>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</si>
  <si>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</si>
  <si>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</si>
  <si>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</si>
  <si>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</si>
  <si>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</si>
  <si>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</si>
  <si>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</si>
  <si>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</si>
  <si>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</si>
  <si>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</si>
  <si>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</si>
  <si>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</si>
  <si>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</si>
  <si>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</si>
  <si>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</si>
  <si>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</si>
  <si>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</si>
  <si>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</si>
  <si>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</si>
  <si>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</si>
  <si>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</si>
  <si>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</si>
  <si>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</si>
  <si>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</si>
  <si>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</si>
  <si>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</si>
  <si>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</si>
  <si>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</si>
  <si>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</si>
  <si>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</si>
  <si>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</si>
  <si>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</si>
  <si>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</si>
  <si>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</si>
  <si>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</si>
  <si>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</si>
  <si>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</si>
  <si>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</si>
  <si>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</si>
  <si>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</si>
  <si>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</si>
  <si>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</si>
  <si>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</si>
  <si>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</si>
  <si>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</si>
  <si>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</si>
  <si>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</si>
  <si>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</si>
  <si>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</si>
  <si>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</si>
  <si>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</si>
  <si>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</si>
  <si>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</si>
  <si>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</si>
  <si>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</si>
  <si>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</si>
  <si>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</si>
  <si>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</si>
  <si>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</si>
  <si>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</si>
  <si>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</si>
  <si>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</si>
  <si>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</si>
  <si>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</si>
  <si>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</si>
  <si>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</si>
  <si>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</si>
  <si>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</si>
  <si>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</si>
  <si>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</si>
  <si>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</si>
  <si>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</si>
  <si>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</si>
  <si>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</si>
  <si>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</si>
  <si>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</si>
  <si>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</si>
  <si>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</si>
  <si>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</si>
  <si>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</si>
  <si>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</si>
  <si>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</si>
  <si>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</si>
  <si>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</si>
  <si>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</si>
  <si>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</si>
  <si>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</si>
  <si>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</si>
  <si>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</si>
  <si>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</si>
  <si>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</si>
  <si>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</si>
  <si>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</si>
  <si>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</si>
  <si>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</si>
  <si>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</si>
  <si>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</si>
  <si>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</si>
  <si>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</si>
  <si>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</si>
  <si>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</si>
  <si>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</si>
  <si>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</si>
  <si>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</si>
  <si>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</si>
  <si>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</si>
  <si>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</si>
  <si>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</si>
  <si>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</si>
  <si>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</si>
  <si>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</si>
  <si>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</si>
  <si>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</si>
  <si>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</si>
  <si>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</si>
  <si>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</si>
  <si>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</si>
  <si>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</si>
  <si>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</si>
  <si>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</si>
  <si>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</si>
  <si>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</si>
  <si>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</si>
  <si>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</si>
  <si>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</si>
  <si>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</si>
  <si>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</si>
  <si>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</si>
  <si>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</si>
  <si>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</si>
  <si>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</si>
  <si>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</si>
  <si>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</si>
  <si>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</si>
  <si>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</si>
  <si>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</si>
  <si>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</si>
  <si>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</si>
  <si>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</si>
  <si>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</si>
  <si>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</si>
  <si>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</si>
  <si>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</si>
  <si>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</si>
  <si>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</si>
  <si>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</si>
  <si>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</si>
  <si>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</si>
  <si>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</si>
  <si>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</si>
  <si>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</si>
  <si>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</si>
  <si>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</si>
  <si>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</si>
  <si>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</si>
  <si>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</si>
  <si>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</si>
  <si>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</si>
  <si>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</si>
  <si>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</si>
  <si>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</si>
  <si>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</si>
  <si>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</si>
  <si>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</si>
  <si>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</si>
  <si>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</si>
  <si>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</si>
  <si>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</si>
  <si>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</si>
  <si>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</si>
  <si>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</si>
  <si>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</si>
  <si>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</si>
  <si>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</si>
  <si>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</si>
  <si>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</si>
  <si>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</si>
  <si>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</si>
  <si>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</si>
  <si>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</si>
  <si>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</si>
  <si>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</si>
  <si>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</si>
  <si>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</si>
  <si>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</si>
  <si>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</si>
  <si>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</si>
  <si>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</si>
  <si>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</si>
  <si>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</si>
  <si>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</si>
  <si>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</si>
  <si>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</si>
  <si>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</si>
  <si>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</si>
  <si>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</si>
  <si>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</si>
  <si>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</si>
  <si>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</si>
  <si>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</si>
  <si>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</si>
  <si>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</si>
  <si>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</si>
  <si>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</si>
  <si>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</si>
  <si>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</si>
  <si>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</si>
  <si>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</si>
  <si>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</si>
  <si>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</si>
  <si>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</si>
  <si>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</si>
  <si>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</si>
  <si>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</si>
  <si>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</si>
  <si>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</si>
  <si>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</si>
  <si>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</si>
  <si>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</si>
  <si>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</si>
  <si>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</si>
  <si>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</si>
  <si>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</si>
  <si>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</si>
  <si>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</si>
  <si>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</si>
  <si>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</si>
  <si>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</si>
  <si>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</si>
  <si>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</si>
  <si>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</si>
  <si>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</si>
  <si>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</si>
  <si>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</si>
  <si>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</si>
  <si>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</si>
  <si>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</si>
  <si>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</si>
  <si>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</si>
  <si>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</si>
  <si>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</si>
  <si>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</si>
  <si>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</si>
  <si>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</si>
  <si>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</si>
  <si>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</si>
  <si>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</si>
  <si>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</si>
  <si>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</si>
  <si>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</si>
  <si>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</si>
  <si>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</si>
  <si>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</si>
  <si>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</si>
  <si>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</si>
  <si>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</si>
  <si>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</si>
  <si>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</si>
  <si>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</si>
  <si>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</si>
  <si>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</si>
  <si>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</si>
  <si>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</si>
  <si>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</si>
  <si>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</si>
  <si>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</si>
  <si>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</si>
  <si>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</si>
  <si>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</si>
  <si>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</si>
  <si>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</si>
  <si>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</si>
  <si>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</si>
  <si>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</si>
  <si>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</si>
  <si>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</si>
  <si>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</si>
  <si>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</si>
  <si>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</si>
  <si>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</si>
  <si>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</si>
  <si>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</si>
  <si>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</si>
  <si>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</si>
  <si>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</si>
  <si>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</si>
  <si>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</si>
  <si>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</si>
  <si>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</si>
  <si>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</si>
  <si>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</si>
  <si>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</si>
  <si>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</si>
  <si>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</si>
  <si>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</si>
  <si>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</si>
  <si>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</si>
  <si>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</si>
  <si>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</si>
  <si>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</si>
  <si>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</si>
  <si>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bridž - bežné transfery</t>
  </si>
  <si>
    <t>B 1/29</t>
  </si>
  <si>
    <t>príspevok pre klub na šport mládeže</t>
  </si>
  <si>
    <t>35561092</t>
  </si>
  <si>
    <t>Košický bridžový klub</t>
  </si>
  <si>
    <t>B 1/67</t>
  </si>
  <si>
    <t>B 1/72</t>
  </si>
  <si>
    <t>42209307</t>
  </si>
  <si>
    <t>Bridžový klub Topoľčany</t>
  </si>
  <si>
    <t>B 1/75</t>
  </si>
  <si>
    <t xml:space="preserve">
54339952</t>
  </si>
  <si>
    <t xml:space="preserve">
Bridzovy klub West</t>
  </si>
  <si>
    <t>B 1/35</t>
  </si>
  <si>
    <t xml:space="preserve">Vklad
MEJ párov
Termín: 18.7.2025 - 23.7.2025
Miesto - mesto a štát Salsomaggiore, Taliansko):
Spôsob dopravy (L,V):
Počet všetkých osôb na pracovnej ceste 4
z toho:
- športovci (+ navádzači): 4
</t>
  </si>
  <si>
    <t>European Bridge League</t>
  </si>
  <si>
    <t>B 1/46</t>
  </si>
  <si>
    <t xml:space="preserve">Pracovná cesta
MEJ párov
Termín: 18.7.2025 - 23.7.2025
Miesto - mesto a štát Salsomaggiore, Taliansko):
Spôsob dopravy (L,V):
Počet všetkých osôb na pracovnej ceste 4
z toho:
- športovci (+ navádzači): 4
</t>
  </si>
  <si>
    <t>Peter Borták</t>
  </si>
  <si>
    <t>B 1/60</t>
  </si>
  <si>
    <t>2.11.2025</t>
  </si>
  <si>
    <t xml:space="preserve">Vklad
7. Pražský mládežnický bridžový festival
Termín: 14. - 17.11.2025
Miesto - mesto a štát: Praha, ČR
Spôsob dopravy (AUV,V):
Počet všetkých osôb na pracovnej ceste 8
z toho:
- športovci (+ navádzači): 6
</t>
  </si>
  <si>
    <t>Český bridžový svaz</t>
  </si>
  <si>
    <t>B 1/63</t>
  </si>
  <si>
    <t>18.11.2025</t>
  </si>
  <si>
    <t xml:space="preserve">Pracovná cesta
7. Pražský mládežnický bridžový festival
Termín: 14. - 17.11.2025
Miesto - mesto a štát: Praha, ČR
Spôsob dopravy (AUV,V):
Počet všetkých osôb na pracovnej ceste 8
z toho:
- športovci (+ navádzači): 6
</t>
  </si>
  <si>
    <t>Richard Gabriel</t>
  </si>
  <si>
    <t>B 1/37</t>
  </si>
  <si>
    <t xml:space="preserve">Pracovná cesta
11th European Transnational Championship
Termín: 27.6.2025 - 6.7.2025
Miesto - mesto a štát (Poznaň, POL):
Spôsob dopravy (AUV):
Počet všetkých osôb na pracovnej ceste 5
z toho:
- športovci (+ navádzači): 5
</t>
  </si>
  <si>
    <t>Juraj Kvoček</t>
  </si>
  <si>
    <t>B 1/44</t>
  </si>
  <si>
    <t>B 1/61</t>
  </si>
  <si>
    <t xml:space="preserve">Pracovná cesta
Medzinárodný Bridžový festival Budapest 2025
Termín: 22. -26.10.2025
Miesto - mesto a štát: Budapes, HUN
Spôsob dopravy (AUV):
Počet všetkých osôb na pracovnej ceste 4
z toho:
- športovci (+ navádzači): 4
</t>
  </si>
  <si>
    <t>B 1/34</t>
  </si>
  <si>
    <t>20250022</t>
  </si>
  <si>
    <t xml:space="preserve">Vytvorenie obssahu Webovej stránky mms.bridgeclub.sk
</t>
  </si>
  <si>
    <t>55545327</t>
  </si>
  <si>
    <t>Tomáš	Pivoluska</t>
  </si>
  <si>
    <t>B 1/38</t>
  </si>
  <si>
    <t>Rozšírená podpora PHP - bridgeclub.sk</t>
  </si>
  <si>
    <t>52486567</t>
  </si>
  <si>
    <t>Webglobe, a.s</t>
  </si>
  <si>
    <t>B 1/39</t>
  </si>
  <si>
    <t>bankový poplatok</t>
  </si>
  <si>
    <t>00151654</t>
  </si>
  <si>
    <t>Slovenská sporiteľňa, a.s.</t>
  </si>
  <si>
    <t>B 1/41</t>
  </si>
  <si>
    <t>B 1/42</t>
  </si>
  <si>
    <t>4002175200</t>
  </si>
  <si>
    <t>Poštovné - MCRaŠ SR</t>
  </si>
  <si>
    <t>36631124</t>
  </si>
  <si>
    <t>B 1/43</t>
  </si>
  <si>
    <t>2585045383</t>
  </si>
  <si>
    <t>Reg. poplatok za doménu - bridgeclub.sk</t>
  </si>
  <si>
    <t>B 1/45</t>
  </si>
  <si>
    <t>B 1/59</t>
  </si>
  <si>
    <t>B 1/66</t>
  </si>
  <si>
    <t>2585057814</t>
  </si>
  <si>
    <t>B 1/68</t>
  </si>
  <si>
    <t>B 1/57</t>
  </si>
  <si>
    <t>2575002209</t>
  </si>
  <si>
    <t>Hosting Fun - bridgebase.6f.sk</t>
  </si>
  <si>
    <t>B 1/77</t>
  </si>
  <si>
    <t>B 1/47</t>
  </si>
  <si>
    <t>64250405</t>
  </si>
  <si>
    <t xml:space="preserve">Organizácia podujatia
Medzinárodné majstrovstvá SR
Miesto: Poprad
Termín: 26.9. až 28.9. 2024
počet aktívnych účastníkov: 100
Prenájom konferenčnej miestnosti + ubytovanie </t>
  </si>
  <si>
    <t>31712797</t>
  </si>
  <si>
    <t>SATEL - SLOVAKIA, s.r.o.</t>
  </si>
  <si>
    <t>Príprava webu pre VC Trnavy</t>
  </si>
  <si>
    <t>B 1/73</t>
  </si>
  <si>
    <t>Príkazná zmluva - koordinátor ligy
Slovenská bridžová liga
1. liga jesenná časť a II. liga Východ</t>
  </si>
  <si>
    <t>54339952</t>
  </si>
  <si>
    <t>Bridžový klub West</t>
  </si>
  <si>
    <t>B 1/74</t>
  </si>
  <si>
    <t>Organizácia podujatia
Veľká cena Trnavy
Miesto: Trnava
Termín: 3.5. až 5.5. 2025
počet aktívnych účastníkov: 61
Prenájom sály a odmena rozhodcovi</t>
  </si>
  <si>
    <t>B 1/58</t>
  </si>
  <si>
    <t>20250033</t>
  </si>
  <si>
    <t>B 1/76</t>
  </si>
  <si>
    <t xml:space="preserve">Prenájom techniky pre SBL a organizácia 2. Slovenská bridžová liga - západ
Miesto: Košice
počet aktívnych účastníkov: 75                                                       </t>
  </si>
  <si>
    <t>Kontaktná osoba zodpovedná za vyplnený formulár
meno a priezvisko:Ing. Milan Krajčo
e-mail: milkrajco@gmail.com
tel. kontakt (mobil): 0915 713 543</t>
  </si>
  <si>
    <t>Ing. Milan Krajčo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</si>
</sst>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31" val="12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1352</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1333</v>
      </c>
    </row>
    <row r="32" spans="1:4" ht="12.65" customHeight="1" x14ac:dyDescent="0.25"/>
    <row r="33" spans="1:3" ht="15.75" customHeight="1" x14ac:dyDescent="0.25">
      <c r="A33" s="19" t="s">
        <v>1334</v>
      </c>
    </row>
    <row r="34" spans="1:3" ht="12.65" customHeight="1" x14ac:dyDescent="0.25"/>
    <row r="35" spans="1:3" ht="52" x14ac:dyDescent="0.25">
      <c r="A35" s="19" t="s">
        <v>1336</v>
      </c>
    </row>
    <row r="36" spans="1:3" ht="12" customHeight="1" x14ac:dyDescent="0.25"/>
    <row r="37" spans="1:3" ht="25.5" x14ac:dyDescent="0.25">
      <c r="A37" s="271" t="s">
        <v>1335</v>
      </c>
    </row>
    <row r="39" spans="1:3" ht="77" x14ac:dyDescent="0.25">
      <c r="A39" s="23" t="s">
        <v>1337</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1339</v>
      </c>
    </row>
    <row r="49" spans="1:1" ht="12" customHeight="1" x14ac:dyDescent="0.25"/>
    <row r="50" spans="1:1" ht="39" x14ac:dyDescent="0.25">
      <c r="A50" s="19" t="s">
        <v>1340</v>
      </c>
    </row>
    <row r="51" spans="1:1" ht="12.75" customHeight="1" x14ac:dyDescent="0.25"/>
    <row r="52" spans="1:1" ht="75.5" x14ac:dyDescent="0.25">
      <c r="A52" s="19" t="s">
        <v>1341</v>
      </c>
    </row>
    <row r="53" spans="1:1" ht="12.75" customHeight="1" x14ac:dyDescent="0.25"/>
    <row r="54" spans="1:1" ht="38.5" x14ac:dyDescent="0.25">
      <c r="A54" s="19" t="s">
        <v>1342</v>
      </c>
    </row>
    <row r="56" spans="1:1" ht="13" x14ac:dyDescent="0.25">
      <c r="A56" s="19" t="s">
        <v>16</v>
      </c>
    </row>
    <row r="58" spans="1:1" ht="13" x14ac:dyDescent="0.25">
      <c r="A58" s="19" t="s">
        <v>17</v>
      </c>
    </row>
    <row r="60" spans="1:1" ht="121.75" customHeight="1" x14ac:dyDescent="0.25">
      <c r="A60" s="23" t="s">
        <v>1343</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1344</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1362</v>
      </c>
    </row>
    <row r="73" spans="1:1" ht="37.5" x14ac:dyDescent="0.25">
      <c r="A73" s="23" t="s">
        <v>1363</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1353</v>
      </c>
    </row>
    <row r="96" spans="1:2" x14ac:dyDescent="0.25">
      <c r="A96" s="23"/>
    </row>
    <row r="97" spans="1:4" ht="13" x14ac:dyDescent="0.25">
      <c r="A97" s="260" t="s">
        <v>40</v>
      </c>
    </row>
    <row r="98" spans="1:4" ht="68.400000000000006" customHeight="1" x14ac:dyDescent="0.25">
      <c r="A98" s="23" t="s">
        <v>1354</v>
      </c>
    </row>
    <row r="99" spans="1:4" x14ac:dyDescent="0.25">
      <c r="A99" s="23"/>
    </row>
    <row r="100" spans="1:4" ht="13" x14ac:dyDescent="0.25">
      <c r="A100" s="260" t="s">
        <v>41</v>
      </c>
    </row>
    <row r="101" spans="1:4" ht="75.5" x14ac:dyDescent="0.25">
      <c r="A101" s="23" t="s">
        <v>1355</v>
      </c>
    </row>
    <row r="102" spans="1:4" x14ac:dyDescent="0.25">
      <c r="A102" s="23"/>
    </row>
    <row r="103" spans="1:4" ht="13" x14ac:dyDescent="0.25">
      <c r="A103" s="295" t="s">
        <v>42</v>
      </c>
    </row>
    <row r="104" spans="1:4" ht="50.5" x14ac:dyDescent="0.25">
      <c r="A104" s="23" t="s">
        <v>1356</v>
      </c>
    </row>
    <row r="105" spans="1:4" x14ac:dyDescent="0.25">
      <c r="A105" s="23"/>
      <c r="B105" s="20" t="s">
        <v>43</v>
      </c>
    </row>
    <row r="106" spans="1:4" ht="13" x14ac:dyDescent="0.25">
      <c r="A106" s="260" t="s">
        <v>44</v>
      </c>
    </row>
    <row r="107" spans="1:4" ht="71.25" customHeight="1" x14ac:dyDescent="0.25">
      <c r="A107" s="19" t="s">
        <v>1357</v>
      </c>
    </row>
    <row r="108" spans="1:4" ht="37.5" x14ac:dyDescent="0.25">
      <c r="A108" s="19" t="s">
        <v>1347</v>
      </c>
    </row>
    <row r="109" spans="1:4" ht="25" x14ac:dyDescent="0.25">
      <c r="A109" s="19" t="s">
        <v>45</v>
      </c>
    </row>
    <row r="110" spans="1:4" ht="10.5" customHeight="1" x14ac:dyDescent="0.25">
      <c r="D110" s="20" t="s">
        <v>43</v>
      </c>
    </row>
    <row r="111" spans="1:4" ht="99.75" customHeight="1" x14ac:dyDescent="0.25">
      <c r="A111" s="23" t="s">
        <v>1346</v>
      </c>
    </row>
    <row r="112" spans="1:4" ht="26" x14ac:dyDescent="0.25">
      <c r="A112" s="19" t="s">
        <v>1345</v>
      </c>
    </row>
    <row r="114" spans="1:2" ht="175" x14ac:dyDescent="0.25">
      <c r="A114" s="23" t="s">
        <v>1358</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1348</v>
      </c>
    </row>
    <row r="133" spans="1:1" ht="61.5" customHeight="1" x14ac:dyDescent="0.25">
      <c r="A133" s="301" t="s">
        <v>1360</v>
      </c>
    </row>
    <row r="134" spans="1:1" ht="13" x14ac:dyDescent="0.25">
      <c r="A134" s="260" t="s">
        <v>1361</v>
      </c>
    </row>
    <row r="135" spans="1:1" ht="101" x14ac:dyDescent="0.25">
      <c r="A135" s="301" t="s">
        <v>1349</v>
      </c>
    </row>
    <row r="136" spans="1:1" x14ac:dyDescent="0.25">
      <c r="A136"/>
    </row>
    <row r="137" spans="1:1" ht="71.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45961</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1" priority="2" stopIfTrue="1">
      <formula>$A78&lt;&gt;""</formula>
    </cfRule>
  </conditionalFormatting>
  <conditionalFormatting sqref="A8:I76 I78">
    <cfRule type="expression" dxfId="100" priority="7" stopIfTrue="1">
      <formula>$A8&lt;&gt;""</formula>
    </cfRule>
  </conditionalFormatting>
  <conditionalFormatting sqref="B78:H2888">
    <cfRule type="expression" dxfId="99" priority="3" stopIfTrue="1">
      <formula>$A78&lt;&gt;""</formula>
    </cfRule>
  </conditionalFormatting>
  <conditionalFormatting sqref="D2886:D2913">
    <cfRule type="expression" dxfId="9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Slovenský bridžový zväz</v>
      </c>
      <c r="C3" s="338"/>
      <c r="D3" s="338"/>
      <c r="G3" s="252">
        <v>45747</v>
      </c>
    </row>
    <row r="4" spans="1:7" ht="14" x14ac:dyDescent="0.3">
      <c r="A4" s="30" t="s">
        <v>313</v>
      </c>
      <c r="B4" s="29" t="str">
        <f>RIGHT("0000"&amp;INDEX(Adr!A:A,Doklady!B102+1),8)</f>
        <v>31770908</v>
      </c>
      <c r="G4" s="252">
        <v>45777</v>
      </c>
    </row>
    <row r="5" spans="1:7" ht="14" x14ac:dyDescent="0.3">
      <c r="A5" s="30" t="s">
        <v>314</v>
      </c>
      <c r="B5" s="29" t="str">
        <f>INDEX(Adr!D:D,Doklady!B102+1)&amp;", "&amp;INDEX(Adr!E:E,Doklady!B102+1)</f>
        <v>Pluhová 1662, Rovinka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19239</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19239</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68" zoomScaleNormal="100" workbookViewId="0">
      <selection activeCell="D140" sqref="D140:I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INDEX(Adr!B2:B244,Doklady!B102)</f>
        <v>Slovenský bridžový zväz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31770908</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Pluhová 1662, Rovinka, 900 41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19239</v>
      </c>
      <c r="D11" s="126">
        <f>+C11-E11</f>
        <v>19239</v>
      </c>
      <c r="E11" s="365">
        <f>+I39-I42+I44-I47</f>
        <v>0</v>
      </c>
      <c r="F11" s="366"/>
      <c r="J11" s="176"/>
      <c r="L11" s="161" t="str">
        <f>L41</f>
        <v>a - bridž - bežné transfery</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a - bridž - kapitálové transfery</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19239</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bridž</v>
      </c>
      <c r="C38" s="68" t="s">
        <v>1671</v>
      </c>
      <c r="D38" s="68" t="s">
        <v>1672</v>
      </c>
      <c r="E38" s="68" t="s">
        <v>1673</v>
      </c>
      <c r="F38" s="68" t="s">
        <v>1670</v>
      </c>
      <c r="G38" s="68" t="s">
        <v>370</v>
      </c>
      <c r="H38" s="68" t="s">
        <v>371</v>
      </c>
      <c r="I38" s="67" t="s">
        <v>327</v>
      </c>
      <c r="L38" s="84">
        <f>COUNTIF(FP!N:N,Doklady!B1&amp;"aB")</f>
        <v>1</v>
      </c>
    </row>
    <row r="39" spans="1:21" x14ac:dyDescent="0.2">
      <c r="A39" s="115" t="s">
        <v>339</v>
      </c>
      <c r="B39" s="116" t="s">
        <v>372</v>
      </c>
      <c r="C39" s="78">
        <f>I39*0.2</f>
        <v>3847.8</v>
      </c>
      <c r="D39" s="78">
        <f>I39*0.2</f>
        <v>3847.8</v>
      </c>
      <c r="E39" s="78">
        <f>I39*0.25</f>
        <v>4809.75</v>
      </c>
      <c r="F39" s="78">
        <f>+I39*0.15</f>
        <v>2885.85</v>
      </c>
      <c r="G39" s="78">
        <f>+MAX(I39-C39-D39-E39-F39-H39,0)</f>
        <v>3847.8000000000015</v>
      </c>
      <c r="H39" s="78">
        <f>+IFERROR(VLOOKUP(K40&amp;" - kapitálové transfery",B$53:C$90,2,0),0)</f>
        <v>0</v>
      </c>
      <c r="I39" s="73">
        <f>SUMIF(FP!K:K,K40,FP!D:D)</f>
        <v>19239</v>
      </c>
      <c r="L39" s="84">
        <f>COUNTIF(FP!N:N,Doklady!B1&amp;"aK")</f>
        <v>0</v>
      </c>
      <c r="T39" s="86"/>
    </row>
    <row r="40" spans="1:21" x14ac:dyDescent="0.2">
      <c r="A40" s="115" t="s">
        <v>339</v>
      </c>
      <c r="B40" s="116" t="s">
        <v>373</v>
      </c>
      <c r="C40" s="78">
        <f>DSUM(Doklady!A103:J10000,"GGG",Spolu!L40:M42)</f>
        <v>4333.42</v>
      </c>
      <c r="D40" s="78">
        <f>DSUM(Doklady!A103:J10000,"GGG",Spolu!N40:O42)</f>
        <v>3952.2400000000002</v>
      </c>
      <c r="E40" s="78">
        <f>DSUM(Doklady!A103:J10000,"GGG",Spolu!P40:Q42)</f>
        <v>5989.03</v>
      </c>
      <c r="F40" s="78">
        <f>DSUM(Doklady!A103:J10000,"GGG",Spolu!R40:S42)</f>
        <v>341.1</v>
      </c>
      <c r="G40" s="78">
        <f>DSUM(Doklady!A103:J10000,"GGG",Spolu!T40:U42)-H40</f>
        <v>4623.21</v>
      </c>
      <c r="H40" s="78">
        <f>+IFERROR(VLOOKUP(K40&amp;" - kapitálové transfery",B$53:D$90,3,0),0)</f>
        <v>0</v>
      </c>
      <c r="I40" s="73">
        <f>+C40+D40+E40+F40+G40+H40</f>
        <v>19239</v>
      </c>
      <c r="J40" s="218" t="str">
        <f>+K45</f>
        <v>.</v>
      </c>
      <c r="K40" s="218" t="str">
        <f>IF(L38&gt;0,INDEX(FP!K:K,Doklady!B2),".")</f>
        <v>bridž</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bridž - bežné transfery</v>
      </c>
      <c r="M41" s="120">
        <v>1</v>
      </c>
      <c r="N41" s="161" t="str">
        <f>+L41</f>
        <v>a - bridž - bežné transfery</v>
      </c>
      <c r="O41" s="120">
        <v>2</v>
      </c>
      <c r="P41" s="161" t="str">
        <f>+L41</f>
        <v>a - bridž - bežné transfery</v>
      </c>
      <c r="Q41" s="120">
        <v>3</v>
      </c>
      <c r="R41" s="161" t="str">
        <f>+L41</f>
        <v>a - bridž - bežné transfery</v>
      </c>
      <c r="S41" s="120">
        <v>4</v>
      </c>
      <c r="T41" s="161" t="str">
        <f>+L41</f>
        <v>a - bridž - bežné transfery</v>
      </c>
      <c r="U41" s="120">
        <v>5</v>
      </c>
    </row>
    <row r="42" spans="1:21" ht="10.5" customHeight="1" x14ac:dyDescent="0.2">
      <c r="A42" s="115" t="s">
        <v>339</v>
      </c>
      <c r="B42" s="116" t="s">
        <v>376</v>
      </c>
      <c r="C42" s="73">
        <f>+C40</f>
        <v>4333.42</v>
      </c>
      <c r="D42" s="216">
        <f>+D40</f>
        <v>3952.2400000000002</v>
      </c>
      <c r="E42" s="216">
        <f>+E40</f>
        <v>5989.03</v>
      </c>
      <c r="F42" s="216">
        <f>+MIN(F39:F40)</f>
        <v>341.1</v>
      </c>
      <c r="G42" s="216">
        <f>+MIN(G39+MAX(F39-F40,0)-MAX(E40-E39,0)-MAX(D40-D39,0)-MAX(C40-C39,0),G40)</f>
        <v>4623.21</v>
      </c>
      <c r="H42" s="216">
        <f>+MIN(H39:H40)</f>
        <v>0</v>
      </c>
      <c r="I42" s="73">
        <f>+C42+D42+E42+MIN(F39:F40)+G42+H42</f>
        <v>19239</v>
      </c>
      <c r="J42" s="219">
        <f>+K47</f>
        <v>0</v>
      </c>
      <c r="K42" s="219">
        <f>+I42-H42</f>
        <v>19239</v>
      </c>
      <c r="L42" s="161" t="str">
        <f>+SUBSTITUTE(L41,"bežné","kapitálové")</f>
        <v>a - bridž - kapitálové transfery</v>
      </c>
      <c r="M42" s="120">
        <v>1</v>
      </c>
      <c r="N42" s="161" t="str">
        <f>+L42</f>
        <v>a - bridž - kapitálové transfery</v>
      </c>
      <c r="O42" s="120">
        <v>2</v>
      </c>
      <c r="P42" s="161" t="str">
        <f>+L42</f>
        <v>a - bridž - kapitálové transfery</v>
      </c>
      <c r="Q42" s="120">
        <v>3</v>
      </c>
      <c r="R42" s="161" t="str">
        <f>+L42</f>
        <v>a - bridž - kapitálové transfery</v>
      </c>
      <c r="S42" s="120">
        <v>4</v>
      </c>
      <c r="T42" s="161" t="str">
        <f>+L42</f>
        <v>a - bridž - kapitálové transfery</v>
      </c>
      <c r="U42" s="120">
        <v>5</v>
      </c>
    </row>
    <row r="43" spans="1:21" ht="31.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bridž - bežné transfery</v>
      </c>
      <c r="C53" s="73">
        <f>IF(A53&lt;&gt;"",INDEX(FP!D:D,Doklady!B$2+(ROW()-53)),"")</f>
        <v>19239</v>
      </c>
      <c r="D53" s="73">
        <f>IF(A53&lt;&gt;"",Doklady!I1-Doklady!J1,"")</f>
        <v>19239</v>
      </c>
      <c r="E53" s="73">
        <f>IF(A53&lt;&gt;"",MIN(D53,C53)*Doklady!C1/(1-Doklady!C1),"")</f>
        <v>0</v>
      </c>
      <c r="F53" s="71">
        <f>IF(A53&lt;&gt;"",Doklady!J1,"")</f>
        <v>0</v>
      </c>
      <c r="G53" s="73">
        <f>+IFERROR(HLOOKUP(IF(RIGHT(B53,15)="bežné transfery",LEFT(B53,LEN(B53)-18),0),$J$40:$K$42,3,0),MIN(C53,D53))</f>
        <v>19239</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19239</v>
      </c>
      <c r="D130" s="228">
        <f t="shared" ref="D130:I130" si="9">SUM(D53:D129)</f>
        <v>19239</v>
      </c>
      <c r="E130" s="228">
        <f t="shared" si="9"/>
        <v>0</v>
      </c>
      <c r="F130" s="228">
        <f t="shared" si="9"/>
        <v>0</v>
      </c>
      <c r="G130" s="228">
        <f t="shared" si="9"/>
        <v>19239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t="s">
        <v>3075</v>
      </c>
      <c r="E140" s="372"/>
      <c r="F140" s="372"/>
      <c r="G140" s="372"/>
      <c r="H140" s="372"/>
      <c r="I140" s="372"/>
      <c r="J140" s="85"/>
    </row>
    <row r="141" spans="1:26" ht="68.25" customHeight="1" x14ac:dyDescent="0.25">
      <c r="A141" s="9"/>
      <c r="B141" s="281" t="s">
        <v>3074</v>
      </c>
      <c r="C141" s="214"/>
      <c r="D141" s="356" t="s">
        <v>393</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7" priority="43" stopIfTrue="1" operator="lessThanOrEqual">
      <formula>0</formula>
    </cfRule>
    <cfRule type="cellIs" dxfId="96" priority="44" stopIfTrue="1" operator="greaterThan">
      <formula>0</formula>
    </cfRule>
  </conditionalFormatting>
  <conditionalFormatting sqref="D53:D129">
    <cfRule type="expression" dxfId="95" priority="31" stopIfTrue="1">
      <formula>$C53=$D53</formula>
    </cfRule>
    <cfRule type="expression" dxfId="94" priority="33" stopIfTrue="1">
      <formula>$C53&lt;&gt;$D53</formula>
    </cfRule>
  </conditionalFormatting>
  <conditionalFormatting sqref="E9:F9">
    <cfRule type="expression" dxfId="93" priority="38" stopIfTrue="1">
      <formula>SUM($E$10:$F$14)&gt;0</formula>
    </cfRule>
  </conditionalFormatting>
  <conditionalFormatting sqref="G53:G129">
    <cfRule type="expression" dxfId="92" priority="13" stopIfTrue="1">
      <formula>$C53=$G53</formula>
    </cfRule>
    <cfRule type="expression" dxfId="91" priority="14" stopIfTrue="1">
      <formula>$C53&lt;&gt;$G53</formula>
    </cfRule>
  </conditionalFormatting>
  <conditionalFormatting sqref="I42">
    <cfRule type="cellIs" dxfId="90" priority="1" stopIfTrue="1" operator="greaterThan">
      <formula>0</formula>
    </cfRule>
  </conditionalFormatting>
  <conditionalFormatting sqref="I47">
    <cfRule type="cellIs" dxfId="89" priority="15" stopIfTrue="1" operator="greaterThan">
      <formula>0</formula>
    </cfRule>
  </conditionalFormatting>
  <conditionalFormatting sqref="I53:I129">
    <cfRule type="cellIs" dxfId="88" priority="40" stopIfTrue="1" operator="equal">
      <formula>0</formula>
    </cfRule>
    <cfRule type="cellIs" dxfId="8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I135" sqref="I135"/>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bridž - bežné transfery</v>
      </c>
      <c r="B1" s="232" t="str">
        <f>INDEX(Adr!A:A,B102+1)</f>
        <v>31770908</v>
      </c>
      <c r="C1" s="233">
        <f>IF(ROW()&lt;=B$3,INDEX(FP!E:E,B$2+ROW()-1),"")</f>
        <v>0</v>
      </c>
      <c r="D1" s="234" t="str">
        <f>IF(ROW()&lt;=B$3,INDEX(FP!F:F,B$2+ROW()-1),"")</f>
        <v>a</v>
      </c>
      <c r="E1" s="234"/>
      <c r="F1" s="234" t="str">
        <f>IF(ROW()&lt;=B$3,INDEX(FP!G:G,B$2+ROW()-1),"")</f>
        <v>026 02</v>
      </c>
      <c r="G1" s="234"/>
      <c r="H1" s="235" t="str">
        <f>IF(ROW()&lt;=B$3,INDEX(FP!C:C,B$2+ROW()-1),"")</f>
        <v>bridž - bežné transfery</v>
      </c>
      <c r="I1" s="236">
        <f t="shared" ref="I1:I32" si="0">IF(ROW()&lt;=B$3,SUMIF(A$107:A$10042,A1,I$107:I$10042),"")</f>
        <v>19239</v>
      </c>
      <c r="J1" s="236">
        <f t="shared" ref="J1:J32" si="1">IF(ROW()&lt;=B$3,SUMIFS(I$103:I$50042,A$103:A$50042,K1,J$103:J$50042,L1),"")</f>
        <v>0</v>
      </c>
      <c r="K1" s="110" t="str">
        <f>$A1</f>
        <v>a - bridž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245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6"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2991</v>
      </c>
      <c r="J100" s="375"/>
      <c r="K100" s="89"/>
    </row>
    <row r="101" spans="1:25" ht="15.5" x14ac:dyDescent="0.35">
      <c r="A101" s="373"/>
      <c r="B101" s="373"/>
      <c r="C101" s="373"/>
      <c r="D101" s="373"/>
      <c r="E101" s="373"/>
      <c r="F101" s="373"/>
      <c r="G101" s="373"/>
      <c r="H101" s="373"/>
      <c r="I101" s="374">
        <v>45961</v>
      </c>
      <c r="J101" s="374"/>
    </row>
    <row r="102" spans="1:25" ht="14" x14ac:dyDescent="0.3">
      <c r="A102" s="249" t="s">
        <v>398</v>
      </c>
      <c r="B102" s="250">
        <v>131</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2996</v>
      </c>
      <c r="B107" s="14" t="s">
        <v>2997</v>
      </c>
      <c r="C107" s="14"/>
      <c r="D107" s="16">
        <v>45823</v>
      </c>
      <c r="E107" s="16"/>
      <c r="F107" s="14" t="s">
        <v>2998</v>
      </c>
      <c r="G107" s="14" t="s">
        <v>2999</v>
      </c>
      <c r="H107" s="14" t="s">
        <v>3000</v>
      </c>
      <c r="I107" s="15">
        <v>1762.98</v>
      </c>
      <c r="J107" s="77">
        <v>1</v>
      </c>
      <c r="K107" s="92"/>
    </row>
    <row r="108" spans="1:25" ht="12.5" x14ac:dyDescent="0.25">
      <c r="A108" s="14" t="s">
        <v>2996</v>
      </c>
      <c r="B108" s="14" t="s">
        <v>3001</v>
      </c>
      <c r="C108" s="14"/>
      <c r="D108" s="16">
        <v>45989</v>
      </c>
      <c r="E108" s="16"/>
      <c r="F108" s="14" t="s">
        <v>2998</v>
      </c>
      <c r="G108" s="14" t="s">
        <v>2999</v>
      </c>
      <c r="H108" s="14" t="s">
        <v>3000</v>
      </c>
      <c r="I108" s="15">
        <v>1762.97</v>
      </c>
      <c r="J108" s="77">
        <v>1</v>
      </c>
      <c r="K108" s="92"/>
    </row>
    <row r="109" spans="1:25" ht="12.5" x14ac:dyDescent="0.25">
      <c r="A109" s="14" t="s">
        <v>2996</v>
      </c>
      <c r="B109" s="14" t="s">
        <v>3002</v>
      </c>
      <c r="C109" s="14"/>
      <c r="D109" s="16">
        <v>46003</v>
      </c>
      <c r="E109" s="16"/>
      <c r="F109" s="14" t="s">
        <v>2998</v>
      </c>
      <c r="G109" s="14" t="s">
        <v>3003</v>
      </c>
      <c r="H109" s="14" t="s">
        <v>3004</v>
      </c>
      <c r="I109" s="15">
        <v>672.89</v>
      </c>
      <c r="J109" s="77">
        <v>1</v>
      </c>
      <c r="K109" s="92"/>
    </row>
    <row r="110" spans="1:25" ht="20" x14ac:dyDescent="0.25">
      <c r="A110" s="14" t="s">
        <v>2996</v>
      </c>
      <c r="B110" s="14" t="s">
        <v>3005</v>
      </c>
      <c r="C110" s="14"/>
      <c r="D110" s="16">
        <v>46014</v>
      </c>
      <c r="E110" s="16"/>
      <c r="F110" s="14" t="s">
        <v>2998</v>
      </c>
      <c r="G110" s="14" t="s">
        <v>3006</v>
      </c>
      <c r="H110" s="14" t="s">
        <v>3007</v>
      </c>
      <c r="I110" s="15">
        <v>134.58000000000001</v>
      </c>
      <c r="J110" s="77">
        <v>1</v>
      </c>
      <c r="K110" s="92"/>
    </row>
    <row r="111" spans="1:25" ht="100" x14ac:dyDescent="0.25">
      <c r="A111" s="14" t="s">
        <v>2996</v>
      </c>
      <c r="B111" s="14" t="s">
        <v>3008</v>
      </c>
      <c r="C111" s="14"/>
      <c r="D111" s="16">
        <v>45852</v>
      </c>
      <c r="E111" s="16"/>
      <c r="F111" s="14" t="s">
        <v>3009</v>
      </c>
      <c r="G111" s="14"/>
      <c r="H111" s="14" t="s">
        <v>3010</v>
      </c>
      <c r="I111" s="15">
        <v>400</v>
      </c>
      <c r="J111" s="77">
        <v>2</v>
      </c>
      <c r="K111" s="92"/>
    </row>
    <row r="112" spans="1:25" ht="100" x14ac:dyDescent="0.25">
      <c r="A112" s="14" t="s">
        <v>2996</v>
      </c>
      <c r="B112" s="14" t="s">
        <v>3011</v>
      </c>
      <c r="C112" s="14"/>
      <c r="D112" s="16">
        <v>45930</v>
      </c>
      <c r="E112" s="16"/>
      <c r="F112" s="14" t="s">
        <v>3012</v>
      </c>
      <c r="G112" s="14"/>
      <c r="H112" s="14" t="s">
        <v>3013</v>
      </c>
      <c r="I112" s="15">
        <v>2031.42</v>
      </c>
      <c r="J112" s="77">
        <v>2</v>
      </c>
      <c r="K112" s="92"/>
    </row>
    <row r="113" spans="1:11" ht="90" x14ac:dyDescent="0.25">
      <c r="A113" s="14" t="s">
        <v>2996</v>
      </c>
      <c r="B113" s="14" t="s">
        <v>3014</v>
      </c>
      <c r="C113" s="14"/>
      <c r="D113" s="16" t="s">
        <v>3015</v>
      </c>
      <c r="E113" s="16"/>
      <c r="F113" s="14" t="s">
        <v>3016</v>
      </c>
      <c r="G113" s="14"/>
      <c r="H113" s="14" t="s">
        <v>3017</v>
      </c>
      <c r="I113" s="15">
        <v>840</v>
      </c>
      <c r="J113" s="77">
        <v>2</v>
      </c>
      <c r="K113" s="92"/>
    </row>
    <row r="114" spans="1:11" ht="90" x14ac:dyDescent="0.25">
      <c r="A114" s="14" t="s">
        <v>2996</v>
      </c>
      <c r="B114" s="14" t="s">
        <v>3018</v>
      </c>
      <c r="C114" s="14"/>
      <c r="D114" s="16" t="s">
        <v>3019</v>
      </c>
      <c r="E114" s="16"/>
      <c r="F114" s="14" t="s">
        <v>3020</v>
      </c>
      <c r="G114" s="14"/>
      <c r="H114" s="14" t="s">
        <v>3021</v>
      </c>
      <c r="I114" s="15">
        <f>156+524.82</f>
        <v>680.82</v>
      </c>
      <c r="J114" s="77">
        <v>2</v>
      </c>
      <c r="K114" s="92"/>
    </row>
    <row r="115" spans="1:11" ht="90" x14ac:dyDescent="0.25">
      <c r="A115" s="14" t="s">
        <v>2996</v>
      </c>
      <c r="B115" s="14" t="s">
        <v>3022</v>
      </c>
      <c r="C115" s="14"/>
      <c r="D115" s="16">
        <v>45862</v>
      </c>
      <c r="E115" s="16"/>
      <c r="F115" s="14" t="s">
        <v>3023</v>
      </c>
      <c r="G115" s="14"/>
      <c r="H115" s="14" t="s">
        <v>3024</v>
      </c>
      <c r="I115" s="15">
        <v>2701.35</v>
      </c>
      <c r="J115" s="77">
        <v>3</v>
      </c>
      <c r="K115" s="92"/>
    </row>
    <row r="116" spans="1:11" ht="90" x14ac:dyDescent="0.25">
      <c r="A116" s="14" t="s">
        <v>2996</v>
      </c>
      <c r="B116" s="14" t="s">
        <v>3025</v>
      </c>
      <c r="C116" s="14"/>
      <c r="D116" s="16">
        <v>45919</v>
      </c>
      <c r="E116" s="16"/>
      <c r="F116" s="14" t="s">
        <v>3023</v>
      </c>
      <c r="G116" s="14"/>
      <c r="H116" s="14" t="s">
        <v>3024</v>
      </c>
      <c r="I116" s="15">
        <v>1641.02</v>
      </c>
      <c r="J116" s="77">
        <v>3</v>
      </c>
      <c r="K116" s="92"/>
    </row>
    <row r="117" spans="1:11" ht="90" x14ac:dyDescent="0.25">
      <c r="A117" s="14" t="s">
        <v>2996</v>
      </c>
      <c r="B117" s="14" t="s">
        <v>3026</v>
      </c>
      <c r="C117" s="14"/>
      <c r="D117" s="16" t="s">
        <v>3015</v>
      </c>
      <c r="E117" s="16"/>
      <c r="F117" s="14" t="s">
        <v>3027</v>
      </c>
      <c r="G117" s="14"/>
      <c r="H117" s="14"/>
      <c r="I117" s="15">
        <v>1646.66</v>
      </c>
      <c r="J117" s="77">
        <v>3</v>
      </c>
      <c r="K117" s="92"/>
    </row>
    <row r="118" spans="1:11" ht="30" x14ac:dyDescent="0.25">
      <c r="A118" s="14" t="s">
        <v>2996</v>
      </c>
      <c r="B118" s="14" t="s">
        <v>3028</v>
      </c>
      <c r="C118" s="14" t="s">
        <v>3029</v>
      </c>
      <c r="D118" s="16">
        <v>45840</v>
      </c>
      <c r="E118" s="16"/>
      <c r="F118" s="14" t="s">
        <v>3030</v>
      </c>
      <c r="G118" s="14" t="s">
        <v>3031</v>
      </c>
      <c r="H118" s="14" t="s">
        <v>3032</v>
      </c>
      <c r="I118" s="15">
        <v>250</v>
      </c>
      <c r="J118" s="77">
        <v>4</v>
      </c>
      <c r="K118" s="92"/>
    </row>
    <row r="119" spans="1:11" ht="12.5" x14ac:dyDescent="0.25">
      <c r="A119" s="14" t="s">
        <v>2996</v>
      </c>
      <c r="B119" s="14" t="s">
        <v>3033</v>
      </c>
      <c r="C119" s="14"/>
      <c r="D119" s="16">
        <v>45865</v>
      </c>
      <c r="E119" s="16"/>
      <c r="F119" s="14" t="s">
        <v>3034</v>
      </c>
      <c r="G119" s="14" t="s">
        <v>3035</v>
      </c>
      <c r="H119" s="14" t="s">
        <v>3036</v>
      </c>
      <c r="I119" s="15">
        <v>4.8600000000000003</v>
      </c>
      <c r="J119" s="77">
        <v>4</v>
      </c>
      <c r="K119" s="92"/>
    </row>
    <row r="120" spans="1:11" ht="12.5" x14ac:dyDescent="0.25">
      <c r="A120" s="14" t="s">
        <v>2996</v>
      </c>
      <c r="B120" s="14" t="s">
        <v>3037</v>
      </c>
      <c r="C120" s="14"/>
      <c r="D120" s="16">
        <v>45869</v>
      </c>
      <c r="E120" s="16"/>
      <c r="F120" s="14" t="s">
        <v>3038</v>
      </c>
      <c r="G120" s="14" t="s">
        <v>3039</v>
      </c>
      <c r="H120" s="14" t="s">
        <v>3040</v>
      </c>
      <c r="I120" s="15">
        <v>5</v>
      </c>
      <c r="J120" s="77">
        <v>4</v>
      </c>
      <c r="K120" s="92"/>
    </row>
    <row r="121" spans="1:11" ht="12.5" x14ac:dyDescent="0.25">
      <c r="A121" s="14" t="s">
        <v>2996</v>
      </c>
      <c r="B121" s="14" t="s">
        <v>3041</v>
      </c>
      <c r="C121" s="14"/>
      <c r="D121" s="16">
        <v>45900</v>
      </c>
      <c r="E121" s="16"/>
      <c r="F121" s="14" t="s">
        <v>3038</v>
      </c>
      <c r="G121" s="14" t="s">
        <v>3039</v>
      </c>
      <c r="H121" s="14" t="s">
        <v>3040</v>
      </c>
      <c r="I121" s="15">
        <v>5</v>
      </c>
      <c r="J121" s="77">
        <v>4</v>
      </c>
      <c r="K121" s="92"/>
    </row>
    <row r="122" spans="1:11" ht="12.5" x14ac:dyDescent="0.25">
      <c r="A122" s="14" t="s">
        <v>2996</v>
      </c>
      <c r="B122" s="14" t="s">
        <v>3042</v>
      </c>
      <c r="C122" s="14" t="s">
        <v>3043</v>
      </c>
      <c r="D122" s="16">
        <v>45918</v>
      </c>
      <c r="E122" s="16"/>
      <c r="F122" s="14" t="s">
        <v>3044</v>
      </c>
      <c r="G122" s="14" t="s">
        <v>3045</v>
      </c>
      <c r="H122" s="14" t="s">
        <v>152</v>
      </c>
      <c r="I122" s="15">
        <v>3.7</v>
      </c>
      <c r="J122" s="77">
        <v>4</v>
      </c>
      <c r="K122" s="92"/>
    </row>
    <row r="123" spans="1:11" ht="12.5" x14ac:dyDescent="0.25">
      <c r="A123" s="14" t="s">
        <v>2996</v>
      </c>
      <c r="B123" s="14" t="s">
        <v>3046</v>
      </c>
      <c r="C123" s="14" t="s">
        <v>3047</v>
      </c>
      <c r="D123" s="16">
        <v>45919</v>
      </c>
      <c r="E123" s="16"/>
      <c r="F123" s="14" t="s">
        <v>3048</v>
      </c>
      <c r="G123" s="14" t="s">
        <v>3035</v>
      </c>
      <c r="H123" s="14" t="s">
        <v>3036</v>
      </c>
      <c r="I123" s="15">
        <v>19.670000000000002</v>
      </c>
      <c r="J123" s="77">
        <v>4</v>
      </c>
      <c r="K123" s="92"/>
    </row>
    <row r="124" spans="1:11" ht="12.5" x14ac:dyDescent="0.25">
      <c r="A124" s="14" t="s">
        <v>2996</v>
      </c>
      <c r="B124" s="14" t="s">
        <v>3049</v>
      </c>
      <c r="C124" s="14"/>
      <c r="D124" s="16">
        <v>45930</v>
      </c>
      <c r="E124" s="16"/>
      <c r="F124" s="14" t="s">
        <v>3038</v>
      </c>
      <c r="G124" s="14" t="s">
        <v>3039</v>
      </c>
      <c r="H124" s="14" t="s">
        <v>3040</v>
      </c>
      <c r="I124" s="15">
        <v>5</v>
      </c>
      <c r="J124" s="77">
        <v>4</v>
      </c>
      <c r="K124" s="92"/>
    </row>
    <row r="125" spans="1:11" ht="12.5" x14ac:dyDescent="0.25">
      <c r="A125" s="14" t="s">
        <v>2996</v>
      </c>
      <c r="B125" s="14" t="s">
        <v>3050</v>
      </c>
      <c r="C125" s="14"/>
      <c r="D125" s="16">
        <v>45961</v>
      </c>
      <c r="E125" s="16"/>
      <c r="F125" s="14" t="s">
        <v>3038</v>
      </c>
      <c r="G125" s="14" t="s">
        <v>3039</v>
      </c>
      <c r="H125" s="14" t="s">
        <v>3040</v>
      </c>
      <c r="I125" s="15">
        <v>5</v>
      </c>
      <c r="J125" s="77">
        <v>4</v>
      </c>
      <c r="K125" s="92"/>
    </row>
    <row r="126" spans="1:11" ht="12.5" x14ac:dyDescent="0.25">
      <c r="A126" s="14" t="s">
        <v>2996</v>
      </c>
      <c r="B126" s="14" t="s">
        <v>3051</v>
      </c>
      <c r="C126" s="14" t="s">
        <v>3052</v>
      </c>
      <c r="D126" s="16">
        <v>45987</v>
      </c>
      <c r="E126" s="16"/>
      <c r="F126" s="14" t="s">
        <v>3034</v>
      </c>
      <c r="G126" s="14" t="s">
        <v>3035</v>
      </c>
      <c r="H126" s="14" t="s">
        <v>3036</v>
      </c>
      <c r="I126" s="15">
        <v>15.31</v>
      </c>
      <c r="J126" s="77">
        <v>4</v>
      </c>
      <c r="K126" s="92"/>
    </row>
    <row r="127" spans="1:11" ht="12.5" x14ac:dyDescent="0.25">
      <c r="A127" s="14" t="s">
        <v>2996</v>
      </c>
      <c r="B127" s="14" t="s">
        <v>3053</v>
      </c>
      <c r="C127" s="14"/>
      <c r="D127" s="16">
        <v>45991</v>
      </c>
      <c r="E127" s="16"/>
      <c r="F127" s="14" t="s">
        <v>3038</v>
      </c>
      <c r="G127" s="14" t="s">
        <v>3039</v>
      </c>
      <c r="H127" s="14" t="s">
        <v>3040</v>
      </c>
      <c r="I127" s="15">
        <v>5</v>
      </c>
      <c r="J127" s="77">
        <v>4</v>
      </c>
      <c r="K127" s="92"/>
    </row>
    <row r="128" spans="1:11" ht="12.5" x14ac:dyDescent="0.25">
      <c r="A128" s="14" t="s">
        <v>2996</v>
      </c>
      <c r="B128" s="14" t="s">
        <v>3054</v>
      </c>
      <c r="C128" s="14" t="s">
        <v>3055</v>
      </c>
      <c r="D128" s="16"/>
      <c r="E128" s="16"/>
      <c r="F128" s="14" t="s">
        <v>3056</v>
      </c>
      <c r="G128" s="14" t="s">
        <v>3035</v>
      </c>
      <c r="H128" s="14" t="s">
        <v>3036</v>
      </c>
      <c r="I128" s="15">
        <v>17.559999999999999</v>
      </c>
      <c r="J128" s="77">
        <v>4</v>
      </c>
      <c r="K128" s="92"/>
    </row>
    <row r="129" spans="1:11" ht="12.5" x14ac:dyDescent="0.25">
      <c r="A129" s="14" t="s">
        <v>2996</v>
      </c>
      <c r="B129" s="14" t="s">
        <v>3057</v>
      </c>
      <c r="C129" s="14" t="s">
        <v>3055</v>
      </c>
      <c r="D129" s="16">
        <v>46022</v>
      </c>
      <c r="E129" s="16"/>
      <c r="F129" s="14" t="s">
        <v>3038</v>
      </c>
      <c r="G129" s="14" t="s">
        <v>3039</v>
      </c>
      <c r="H129" s="14" t="s">
        <v>3040</v>
      </c>
      <c r="I129" s="15">
        <v>5</v>
      </c>
      <c r="J129" s="77">
        <v>4</v>
      </c>
      <c r="K129" s="92"/>
    </row>
    <row r="130" spans="1:11" ht="70" x14ac:dyDescent="0.25">
      <c r="A130" s="14" t="s">
        <v>2996</v>
      </c>
      <c r="B130" s="14" t="s">
        <v>3058</v>
      </c>
      <c r="C130" s="14" t="s">
        <v>3059</v>
      </c>
      <c r="D130" s="16">
        <v>45932</v>
      </c>
      <c r="E130" s="16"/>
      <c r="F130" s="14" t="s">
        <v>3060</v>
      </c>
      <c r="G130" s="14" t="s">
        <v>3061</v>
      </c>
      <c r="H130" s="14" t="s">
        <v>3062</v>
      </c>
      <c r="I130" s="15">
        <v>1497</v>
      </c>
      <c r="J130" s="77">
        <v>5</v>
      </c>
      <c r="K130" s="92"/>
    </row>
    <row r="131" spans="1:11" ht="30" x14ac:dyDescent="0.25">
      <c r="A131" s="14" t="s">
        <v>2996</v>
      </c>
      <c r="B131" s="14" t="s">
        <v>3064</v>
      </c>
      <c r="C131" s="14"/>
      <c r="D131" s="16">
        <v>46005</v>
      </c>
      <c r="E131" s="16"/>
      <c r="F131" s="14" t="s">
        <v>3065</v>
      </c>
      <c r="G131" s="14" t="s">
        <v>3066</v>
      </c>
      <c r="H131" s="14" t="s">
        <v>3067</v>
      </c>
      <c r="I131" s="15">
        <v>150</v>
      </c>
      <c r="J131" s="77">
        <v>5</v>
      </c>
      <c r="K131" s="92"/>
    </row>
    <row r="132" spans="1:11" ht="70" x14ac:dyDescent="0.25">
      <c r="A132" s="14" t="s">
        <v>2996</v>
      </c>
      <c r="B132" s="14" t="s">
        <v>3068</v>
      </c>
      <c r="C132" s="14"/>
      <c r="D132" s="16">
        <v>46009</v>
      </c>
      <c r="E132" s="16"/>
      <c r="F132" s="14" t="s">
        <v>3069</v>
      </c>
      <c r="G132" s="14" t="s">
        <v>3066</v>
      </c>
      <c r="H132" s="14" t="s">
        <v>3067</v>
      </c>
      <c r="I132" s="15">
        <v>1572</v>
      </c>
      <c r="J132" s="77">
        <v>5</v>
      </c>
      <c r="K132" s="92"/>
    </row>
    <row r="133" spans="1:11" ht="12.5" x14ac:dyDescent="0.25">
      <c r="A133" s="14" t="s">
        <v>2996</v>
      </c>
      <c r="B133" s="14" t="s">
        <v>3070</v>
      </c>
      <c r="C133" s="14" t="s">
        <v>3071</v>
      </c>
      <c r="D133" s="16">
        <v>45954</v>
      </c>
      <c r="E133" s="16"/>
      <c r="F133" s="14" t="s">
        <v>3063</v>
      </c>
      <c r="G133" s="14" t="s">
        <v>3031</v>
      </c>
      <c r="H133" s="14" t="s">
        <v>3032</v>
      </c>
      <c r="I133" s="15">
        <v>75</v>
      </c>
      <c r="J133" s="77">
        <v>5</v>
      </c>
      <c r="K133" s="92"/>
    </row>
    <row r="134" spans="1:11" ht="40" x14ac:dyDescent="0.25">
      <c r="A134" s="14" t="s">
        <v>2996</v>
      </c>
      <c r="B134" s="14" t="s">
        <v>3072</v>
      </c>
      <c r="C134" s="14" t="s">
        <v>3071</v>
      </c>
      <c r="D134" s="16">
        <v>46022</v>
      </c>
      <c r="E134" s="16"/>
      <c r="F134" s="14" t="s">
        <v>3073</v>
      </c>
      <c r="G134" s="14" t="s">
        <v>2999</v>
      </c>
      <c r="H134" s="14" t="s">
        <v>3000</v>
      </c>
      <c r="I134" s="15">
        <f>1513.37-141.1-5-38.06</f>
        <v>1329.21</v>
      </c>
      <c r="J134" s="77">
        <v>5</v>
      </c>
      <c r="K134" s="92"/>
    </row>
    <row r="135" spans="1:11" ht="12.5" x14ac:dyDescent="0.25">
      <c r="K135" s="92"/>
    </row>
    <row r="136" spans="1:11" ht="12.5" x14ac:dyDescent="0.25">
      <c r="K136" s="92"/>
    </row>
    <row r="137" spans="1:11" ht="12.5" x14ac:dyDescent="0.25">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6" priority="46" stopIfTrue="1">
      <formula>$A1112&lt;&gt;""</formula>
    </cfRule>
  </conditionalFormatting>
  <conditionalFormatting sqref="A107:J134 A138:J5000">
    <cfRule type="expression" dxfId="85" priority="35" stopIfTrue="1">
      <formula>$A107&lt;&gt;""</formula>
    </cfRule>
  </conditionalFormatting>
  <conditionalFormatting sqref="B472:E477">
    <cfRule type="expression" dxfId="84" priority="137" stopIfTrue="1">
      <formula>$A472&lt;&gt;""</formula>
    </cfRule>
  </conditionalFormatting>
  <conditionalFormatting sqref="B484:E488">
    <cfRule type="expression" dxfId="83" priority="172" stopIfTrue="1">
      <formula>$A484&lt;&gt;""</formula>
    </cfRule>
  </conditionalFormatting>
  <conditionalFormatting sqref="B689:E689">
    <cfRule type="expression" dxfId="82" priority="64" stopIfTrue="1">
      <formula>$A689&lt;&gt;""</formula>
    </cfRule>
  </conditionalFormatting>
  <conditionalFormatting sqref="B691:E691 H691:I691 B692:I693 B694:E699 H694:I699">
    <cfRule type="expression" dxfId="81" priority="24" stopIfTrue="1">
      <formula>$A691&lt;&gt;""</formula>
    </cfRule>
  </conditionalFormatting>
  <conditionalFormatting sqref="B701:E701 H701:I701">
    <cfRule type="expression" dxfId="80" priority="15" stopIfTrue="1">
      <formula>$A701&lt;&gt;""</formula>
    </cfRule>
  </conditionalFormatting>
  <conditionalFormatting sqref="B819:E819">
    <cfRule type="expression" dxfId="79" priority="87" stopIfTrue="1">
      <formula>$A819&lt;&gt;""</formula>
    </cfRule>
  </conditionalFormatting>
  <conditionalFormatting sqref="B1110:E1110">
    <cfRule type="expression" dxfId="78" priority="133" stopIfTrue="1">
      <formula>$A1110&lt;&gt;""</formula>
    </cfRule>
  </conditionalFormatting>
  <conditionalFormatting sqref="B1114:E1114">
    <cfRule type="expression" dxfId="77" priority="189" stopIfTrue="1">
      <formula>$A1114&lt;&gt;""</formula>
    </cfRule>
  </conditionalFormatting>
  <conditionalFormatting sqref="B1131:E1136">
    <cfRule type="expression" dxfId="76" priority="179" stopIfTrue="1">
      <formula>$A1131&lt;&gt;""</formula>
    </cfRule>
  </conditionalFormatting>
  <conditionalFormatting sqref="B1138:E1148">
    <cfRule type="expression" dxfId="75" priority="47" stopIfTrue="1">
      <formula>$A1138&lt;&gt;""</formula>
    </cfRule>
  </conditionalFormatting>
  <conditionalFormatting sqref="B1152:E1152">
    <cfRule type="expression" dxfId="74" priority="73" stopIfTrue="1">
      <formula>$A1152&lt;&gt;""</formula>
    </cfRule>
  </conditionalFormatting>
  <conditionalFormatting sqref="B1253:E1260 I1253:J1270">
    <cfRule type="expression" dxfId="73" priority="123" stopIfTrue="1">
      <formula>$A1253&lt;&gt;""</formula>
    </cfRule>
  </conditionalFormatting>
  <conditionalFormatting sqref="B1293:E1301">
    <cfRule type="expression" dxfId="72" priority="158" stopIfTrue="1">
      <formula>$A1293&lt;&gt;""</formula>
    </cfRule>
  </conditionalFormatting>
  <conditionalFormatting sqref="B1303:E1326">
    <cfRule type="expression" dxfId="71" priority="37" stopIfTrue="1">
      <formula>$A1303&lt;&gt;""</formula>
    </cfRule>
  </conditionalFormatting>
  <conditionalFormatting sqref="B1360:E1363">
    <cfRule type="expression" dxfId="70" priority="54" stopIfTrue="1">
      <formula>$A1360&lt;&gt;""</formula>
    </cfRule>
  </conditionalFormatting>
  <conditionalFormatting sqref="B1365:E1367">
    <cfRule type="expression" dxfId="69" priority="259" stopIfTrue="1">
      <formula>$A1365&lt;&gt;""</formula>
    </cfRule>
  </conditionalFormatting>
  <conditionalFormatting sqref="B1369:E1379">
    <cfRule type="expression" dxfId="68" priority="78" stopIfTrue="1">
      <formula>$A1369&lt;&gt;""</formula>
    </cfRule>
  </conditionalFormatting>
  <conditionalFormatting sqref="B1393:E1404">
    <cfRule type="expression" dxfId="67" priority="116" stopIfTrue="1">
      <formula>$A1393&lt;&gt;""</formula>
    </cfRule>
  </conditionalFormatting>
  <conditionalFormatting sqref="B1412:E1450">
    <cfRule type="expression" dxfId="66" priority="153" stopIfTrue="1">
      <formula>$A1412&lt;&gt;""</formula>
    </cfRule>
  </conditionalFormatting>
  <conditionalFormatting sqref="B1453:E1458">
    <cfRule type="expression" dxfId="65" priority="223" stopIfTrue="1">
      <formula>$A1453&lt;&gt;""</formula>
    </cfRule>
  </conditionalFormatting>
  <conditionalFormatting sqref="B489:G489">
    <cfRule type="expression" dxfId="64" priority="173" stopIfTrue="1">
      <formula>$A489&lt;&gt;""</formula>
    </cfRule>
  </conditionalFormatting>
  <conditionalFormatting sqref="B478:H483">
    <cfRule type="expression" dxfId="63" priority="193" stopIfTrue="1">
      <formula>$A478&lt;&gt;""</formula>
    </cfRule>
  </conditionalFormatting>
  <conditionalFormatting sqref="B490:H496">
    <cfRule type="expression" dxfId="62" priority="149" stopIfTrue="1">
      <formula>$A490&lt;&gt;""</formula>
    </cfRule>
  </conditionalFormatting>
  <conditionalFormatting sqref="B1067:H1082">
    <cfRule type="expression" dxfId="61" priority="219" stopIfTrue="1">
      <formula>$A1067&lt;&gt;""</formula>
    </cfRule>
  </conditionalFormatting>
  <conditionalFormatting sqref="B1272:H1274 B1275:E1288 H1275:H1288">
    <cfRule type="expression" dxfId="60" priority="148" stopIfTrue="1">
      <formula>$A1272&lt;&gt;""</formula>
    </cfRule>
  </conditionalFormatting>
  <conditionalFormatting sqref="B1290:H1292">
    <cfRule type="expression" dxfId="59" priority="43" stopIfTrue="1">
      <formula>$A1290&lt;&gt;""</formula>
    </cfRule>
  </conditionalFormatting>
  <conditionalFormatting sqref="B1364:H1364">
    <cfRule type="expression" dxfId="58" priority="289" stopIfTrue="1">
      <formula>$A1364&lt;&gt;""</formula>
    </cfRule>
  </conditionalFormatting>
  <conditionalFormatting sqref="B1380:H1385">
    <cfRule type="expression" dxfId="57" priority="17" stopIfTrue="1">
      <formula>$A1380&lt;&gt;""</formula>
    </cfRule>
  </conditionalFormatting>
  <conditionalFormatting sqref="B1410:H1411">
    <cfRule type="expression" dxfId="56" priority="196" stopIfTrue="1">
      <formula>$A1410&lt;&gt;""</formula>
    </cfRule>
  </conditionalFormatting>
  <conditionalFormatting sqref="B175:I189 I190:I227 B190:E241">
    <cfRule type="expression" dxfId="55" priority="246" stopIfTrue="1">
      <formula>$A175&lt;&gt;""</formula>
    </cfRule>
  </conditionalFormatting>
  <conditionalFormatting sqref="B242:I242 B243:E275">
    <cfRule type="expression" dxfId="54" priority="260" stopIfTrue="1">
      <formula>$A242&lt;&gt;""</formula>
    </cfRule>
  </conditionalFormatting>
  <conditionalFormatting sqref="B276:I320">
    <cfRule type="expression" dxfId="53" priority="93" stopIfTrue="1">
      <formula>$A276&lt;&gt;""</formula>
    </cfRule>
  </conditionalFormatting>
  <conditionalFormatting sqref="B497:I499">
    <cfRule type="expression" dxfId="52" priority="95" stopIfTrue="1">
      <formula>$A497&lt;&gt;""</formula>
    </cfRule>
  </conditionalFormatting>
  <conditionalFormatting sqref="B645:I688">
    <cfRule type="expression" dxfId="51" priority="256" stopIfTrue="1">
      <formula>$A645&lt;&gt;""</formula>
    </cfRule>
  </conditionalFormatting>
  <conditionalFormatting sqref="B690:I690">
    <cfRule type="expression" dxfId="50" priority="22" stopIfTrue="1">
      <formula>$A690&lt;&gt;""</formula>
    </cfRule>
  </conditionalFormatting>
  <conditionalFormatting sqref="B1137:I1137">
    <cfRule type="expression" dxfId="49" priority="147" stopIfTrue="1">
      <formula>$A1137&lt;&gt;""</formula>
    </cfRule>
  </conditionalFormatting>
  <conditionalFormatting sqref="B1149:I1151">
    <cfRule type="expression" dxfId="48" priority="16" stopIfTrue="1">
      <formula>$A1149&lt;&gt;""</formula>
    </cfRule>
  </conditionalFormatting>
  <conditionalFormatting sqref="B1153:I1157">
    <cfRule type="expression" dxfId="47" priority="18" stopIfTrue="1">
      <formula>$A1153&lt;&gt;""</formula>
    </cfRule>
  </conditionalFormatting>
  <conditionalFormatting sqref="B1271:I1271 I1272:I1288">
    <cfRule type="expression" dxfId="46" priority="151" stopIfTrue="1">
      <formula>$A1271&lt;&gt;""</formula>
    </cfRule>
  </conditionalFormatting>
  <conditionalFormatting sqref="B1368:I1368">
    <cfRule type="expression" dxfId="45" priority="146" stopIfTrue="1">
      <formula>$A1368&lt;&gt;""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34 F138:F5000" xr:uid="{255B499D-B3E6-47A9-A857-DBFE56F071D9}">
      <formula1>$F$96:$F$99</formula1>
    </dataValidation>
    <dataValidation type="list" allowBlank="1" showInputMessage="1" showErrorMessage="1" sqref="A107:A134 A138:A5000" xr:uid="{540C0DA9-E9CD-4805-B659-E67C1C32B21C}">
      <formula1>OFFSET($A$1,0,0,$B$3,1)</formula1>
    </dataValidation>
    <dataValidation allowBlank="1" sqref="G107:G134 G138:G5000" xr:uid="{B36265DD-F5DD-4F0A-AD93-4A0388363C0B}"/>
    <dataValidation type="list" allowBlank="1" showInputMessage="1" showErrorMessage="1" errorTitle="Chyba !" error="zadajte (vyberte zo zoznamu) platný analytický kód podľa nápovedy k bunke I104" sqref="J107:J134 J138: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5"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5"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5"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5"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5"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5"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5"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5"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5"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5"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5"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5"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5"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5"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5"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5"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5"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5"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Slovenský bridžový zväz, Pluhová 1662, Rovinka, 900 41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1"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5"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31770908</v>
      </c>
      <c r="E18" s="147" t="s">
        <v>1275</v>
      </c>
      <c r="F18" s="282">
        <v>421947749446</v>
      </c>
      <c r="N18" s="137" t="str">
        <f t="shared" si="0"/>
        <v xml:space="preserve">r - </v>
      </c>
      <c r="O18" s="137" t="s">
        <v>368</v>
      </c>
    </row>
    <row r="19" spans="1:16" x14ac:dyDescent="0.25">
      <c r="E19" s="147" t="s">
        <v>1276</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Slovenský bridžový zväz, Pluhová 1662, Rovinka, 900 41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4" customHeight="1" x14ac:dyDescent="0.25">
      <c r="A14" s="139" t="s">
        <v>1266</v>
      </c>
      <c r="B14" s="385" t="s">
        <v>1284</v>
      </c>
      <c r="C14" s="386"/>
      <c r="F14" s="311"/>
      <c r="N14" s="137" t="str">
        <f t="shared" si="0"/>
        <v xml:space="preserve">n - </v>
      </c>
      <c r="O14" s="137" t="s">
        <v>364</v>
      </c>
    </row>
    <row r="15" spans="1:16" ht="34.4"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5" customHeight="1" x14ac:dyDescent="0.25">
      <c r="A17" s="139" t="s">
        <v>1272</v>
      </c>
      <c r="B17" s="142">
        <f>F9</f>
        <v>0</v>
      </c>
      <c r="C17" s="137"/>
      <c r="F17" s="388"/>
      <c r="N17" s="137" t="str">
        <f t="shared" si="0"/>
        <v xml:space="preserve">q - </v>
      </c>
      <c r="O17" s="137" t="s">
        <v>367</v>
      </c>
    </row>
    <row r="18" spans="1:16" ht="16" thickBot="1" x14ac:dyDescent="0.3">
      <c r="B18" s="193" t="s">
        <v>1286</v>
      </c>
      <c r="C18" s="194">
        <v>31</v>
      </c>
      <c r="N18" s="137" t="str">
        <f t="shared" si="0"/>
        <v xml:space="preserve">r - </v>
      </c>
      <c r="O18" s="137" t="s">
        <v>368</v>
      </c>
    </row>
    <row r="19" spans="1:16" x14ac:dyDescent="0.25">
      <c r="B19" s="193" t="s">
        <v>1274</v>
      </c>
      <c r="C19" s="142" t="str">
        <f>Spolu!C4</f>
        <v>31770908</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1289</v>
      </c>
    </row>
    <row r="2" spans="1:2" ht="30" customHeight="1" x14ac:dyDescent="0.25">
      <c r="A2" s="389" t="s">
        <v>1290</v>
      </c>
      <c r="B2" s="389"/>
    </row>
    <row r="3" spans="1:2" ht="13"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Milan</cp:lastModifiedBy>
  <cp:revision/>
  <cp:lastPrinted>2026-04-14T20:17:08Z</cp:lastPrinted>
  <dcterms:created xsi:type="dcterms:W3CDTF">2017-02-20T06:20:12Z</dcterms:created>
  <dcterms:modified xsi:type="dcterms:W3CDTF">2026-04-14T20:17:17Z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