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C:\Users\PC\Desktop\Vyúčtovanie TJ ministerstvu v r.2025 = 2 600,00 Eur\"/>
    </mc:Choice>
  </mc:AlternateContent>
  <xr:revisionPtr revIDLastSave="0" documentId="13_ncr:1_{7C39B8DD-3FAA-46A5-AEC9-C30A88BB23FB}" xr6:coauthVersionLast="36" xr6:coauthVersionMax="47" xr10:uidLastSave="{00000000-0000-0000-0000-000000000000}"/>
  <bookViews>
    <workbookView xWindow="0" yWindow="0" windowWidth="23040" windowHeight="8364"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<sst xmlns="http://schemas.openxmlformats.org/spreadsheetml/2006/main" count="6554" uniqueCount="3015">
  <si>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</si>
  <si>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</si>
  <si>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</si>
  <si>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</si>
  <si>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</si>
  <si>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</si>
  <si>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</si>
  <si>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</si>
  <si>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</si>
  <si>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</si>
  <si>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</si>
  <si>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</si>
  <si>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</si>
  <si>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</si>
  <si>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</si>
  <si>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</si>
  <si>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</si>
  <si>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</si>
  <si>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</si>
  <si>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</si>
  <si>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</si>
  <si>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</si>
  <si>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</si>
  <si>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</si>
  <si>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</si>
  <si>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</si>
  <si>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</si>
  <si>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</si>
  <si>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</si>
  <si>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</si>
  <si>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</si>
  <si>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</si>
  <si>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</si>
  <si>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</si>
  <si>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</si>
  <si>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</si>
  <si>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</si>
  <si>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</si>
  <si>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</si>
  <si>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</si>
  <si>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</si>
  <si>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</si>
  <si>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</si>
  <si>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</si>
  <si>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</si>
  <si>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</si>
  <si>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</si>
  <si>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</si>
  <si>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</si>
  <si>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</si>
  <si>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</si>
  <si>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</si>
  <si>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</si>
  <si>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</si>
  <si>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</si>
  <si>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</si>
  <si>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</si>
  <si>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</si>
  <si>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</si>
  <si>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</si>
  <si>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</si>
  <si>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</si>
  <si>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</si>
  <si>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</si>
  <si>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</si>
  <si>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</si>
  <si>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</si>
  <si>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</si>
  <si>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</si>
  <si>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</si>
  <si>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</si>
  <si>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</si>
  <si>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</si>
  <si>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</si>
  <si>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</si>
  <si>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</si>
  <si>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</si>
  <si>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</si>
  <si>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</si>
  <si>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</si>
  <si>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</si>
  <si>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</si>
  <si>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</si>
  <si>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</si>
  <si>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</si>
  <si>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</si>
  <si>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</si>
  <si>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</si>
  <si>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</si>
  <si>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</si>
  <si>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</si>
  <si>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</si>
  <si>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</si>
  <si>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</si>
  <si>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</si>
  <si>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</si>
  <si>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</si>
  <si>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</si>
  <si>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</si>
  <si>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</si>
  <si>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</si>
  <si>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</si>
  <si>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</si>
  <si>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</si>
  <si>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</si>
  <si>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</si>
  <si>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</si>
  <si>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</si>
  <si>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</si>
  <si>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</si>
  <si>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</si>
  <si>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</si>
  <si>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</si>
  <si>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</si>
  <si>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</si>
  <si>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</si>
  <si>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</si>
  <si>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</si>
  <si>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</si>
  <si>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</si>
  <si>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</si>
  <si>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</si>
  <si>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</si>
  <si>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</si>
  <si>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</si>
  <si>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</si>
  <si>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</si>
  <si>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</si>
  <si>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</si>
  <si>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</si>
  <si>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</si>
  <si>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</si>
  <si>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</si>
  <si>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</si>
  <si>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</si>
  <si>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</si>
  <si>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</si>
  <si>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</si>
  <si>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</si>
  <si>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</si>
  <si>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</si>
  <si>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</si>
  <si>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</si>
  <si>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</si>
  <si>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</si>
  <si>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</si>
  <si>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</si>
  <si>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</si>
  <si>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</si>
  <si>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</si>
  <si>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</si>
  <si>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</si>
  <si>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</si>
  <si>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</si>
  <si>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</si>
  <si>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</si>
  <si>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</si>
  <si>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</si>
  <si>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</si>
  <si>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</si>
  <si>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</si>
  <si>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</si>
  <si>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</si>
  <si>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</si>
  <si>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</si>
  <si>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</si>
  <si>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</si>
  <si>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</si>
  <si>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</si>
  <si>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</si>
  <si>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</si>
  <si>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</si>
  <si>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</si>
  <si>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</si>
  <si>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</si>
  <si>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</si>
  <si>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</si>
  <si>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</si>
  <si>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</si>
  <si>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</si>
  <si>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</si>
  <si>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</si>
  <si>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</si>
  <si>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</si>
  <si>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</si>
  <si>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</si>
  <si>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</si>
  <si>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</si>
  <si>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</si>
  <si>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</si>
  <si>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</si>
  <si>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</si>
  <si>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</si>
  <si>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</si>
  <si>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</si>
  <si>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</si>
  <si>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</si>
  <si>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</si>
  <si>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</si>
  <si>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</si>
  <si>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</si>
  <si>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</si>
  <si>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</si>
  <si>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</si>
  <si>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</si>
  <si>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</si>
  <si>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</si>
  <si>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</si>
  <si>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</si>
  <si>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</si>
  <si>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</si>
  <si>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</si>
  <si>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</si>
  <si>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</si>
  <si>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</si>
  <si>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</si>
  <si>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</si>
  <si>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</si>
  <si>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</si>
  <si>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</si>
  <si>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</si>
  <si>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</si>
  <si>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</si>
  <si>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</si>
  <si>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</si>
  <si>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</si>
  <si>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</si>
  <si>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</si>
  <si>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</si>
  <si>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</si>
  <si>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</si>
  <si>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</si>
  <si>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</si>
  <si>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</si>
  <si>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</si>
  <si>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</si>
  <si>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</si>
  <si>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</si>
  <si>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</si>
  <si>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</si>
  <si>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</si>
  <si>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</si>
  <si>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</si>
  <si>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</si>
  <si>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</si>
  <si>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</si>
  <si>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</si>
  <si>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</si>
  <si>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</si>
  <si>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</si>
  <si>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</si>
  <si>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</si>
  <si>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</si>
  <si>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</si>
  <si>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</si>
  <si>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</si>
  <si>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</si>
  <si>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</si>
  <si>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</si>
  <si>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</si>
  <si>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</si>
  <si>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</si>
  <si>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</si>
  <si>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</si>
  <si>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</si>
  <si>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</si>
  <si>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</si>
  <si>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</si>
  <si>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</si>
  <si>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</si>
  <si>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</si>
  <si>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</si>
  <si>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</si>
  <si>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</si>
  <si>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</si>
  <si>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</si>
  <si>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</si>
  <si>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</si>
  <si>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</si>
  <si>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</si>
  <si>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</si>
  <si>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</si>
  <si>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</si>
  <si>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</si>
  <si>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</si>
  <si>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</si>
  <si>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</si>
  <si>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</si>
  <si>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</si>
  <si>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</si>
  <si>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</si>
  <si>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</si>
  <si>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</si>
  <si>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</si>
  <si>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</si>
  <si>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</si>
  <si>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</si>
  <si>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</si>
  <si>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</si>
  <si>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</si>
  <si>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</si>
  <si>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</si>
  <si>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</si>
  <si>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</si>
  <si>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</si>
  <si>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</si>
  <si>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</si>
  <si>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</si>
  <si>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</si>
  <si>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</si>
  <si>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</si>
  <si>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</si>
  <si>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</si>
  <si>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</si>
  <si>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</si>
  <si>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</si>
  <si>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</si>
  <si>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</si>
  <si>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</si>
  <si>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</si>
  <si>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</si>
  <si>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</si>
  <si>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</si>
  <si>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</si>
  <si>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</si>
  <si>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</si>
  <si>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</si>
  <si>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</si>
  <si>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</si>
  <si>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</si>
  <si>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</si>
  <si>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</si>
  <si>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</si>
  <si>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</si>
  <si>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</si>
  <si>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</si>
  <si>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</si>
  <si>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</si>
  <si>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</si>
  <si>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</si>
  <si>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</si>
  <si>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</si>
  <si>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</si>
  <si>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</si>
  <si>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</si>
  <si>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</si>
  <si>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</si>
  <si>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</si>
  <si>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</si>
  <si>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</si>
  <si>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</si>
  <si>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</si>
  <si>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</si>
  <si>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</si>
  <si>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</si>
  <si>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</si>
  <si>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</si>
  <si>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</si>
  <si>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</si>
  <si>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</si>
  <si>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</si>
  <si>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</si>
  <si>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</si>
  <si>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</si>
  <si>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</si>
  <si>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</si>
  <si>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</si>
  <si>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</si>
  <si>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</si>
  <si>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</si>
  <si>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</si>
  <si>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</si>
  <si>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</si>
  <si>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</si>
  <si>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</si>
  <si>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</si>
  <si>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</si>
  <si>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</si>
  <si>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</si>
  <si>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</si>
  <si>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</si>
  <si>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</si>
  <si>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</si>
  <si>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</si>
  <si>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</si>
  <si>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</si>
  <si>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</si>
  <si>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</si>
  <si>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</si>
  <si>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</si>
  <si>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</si>
  <si>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</si>
  <si>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</si>
  <si>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</si>
  <si>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</si>
  <si>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</si>
  <si>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</si>
  <si>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</si>
  <si>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</si>
  <si>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</si>
  <si>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</si>
  <si>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</si>
  <si>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</si>
  <si>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</si>
  <si>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</si>
  <si>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</si>
  <si>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</si>
  <si>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</si>
  <si>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</si>
  <si>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</si>
  <si>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</si>
  <si>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</si>
  <si>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</si>
  <si>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</si>
  <si>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</si>
  <si>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</si>
  <si>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</si>
  <si>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</si>
  <si>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</si>
  <si>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</si>
  <si>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</si>
  <si>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</si>
  <si>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</si>
  <si>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</si>
  <si>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</si>
  <si>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</si>
  <si>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</si>
  <si>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</si>
  <si>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</si>
  <si>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</si>
  <si>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</si>
  <si>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</si>
  <si>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</si>
  <si>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</si>
  <si>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</si>
  <si>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</si>
  <si>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</si>
  <si>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</si>
  <si>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</si>
  <si>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</si>
  <si>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</si>
  <si>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</si>
  <si>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</si>
  <si>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</si>
  <si>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</si>
  <si>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</si>
  <si>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</si>
  <si>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</si>
  <si>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</si>
  <si>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</si>
  <si>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</si>
  <si>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</si>
  <si>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</si>
  <si>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</si>
  <si>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</si>
  <si>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</si>
  <si>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</si>
  <si>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</si>
  <si>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</si>
  <si>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</si>
  <si>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</si>
  <si>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</si>
  <si>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</si>
  <si>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</si>
  <si>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</si>
  <si>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</si>
  <si>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</si>
  <si>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</si>
  <si>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</si>
  <si>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</si>
  <si>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</si>
  <si>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</si>
  <si>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</si>
  <si>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</si>
  <si>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</si>
  <si>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</si>
  <si>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</si>
  <si>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</si>
  <si>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</si>
  <si>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</si>
  <si>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</si>
  <si>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</si>
  <si>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</si>
  <si>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</si>
  <si>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</si>
  <si>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</si>
  <si>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</si>
  <si>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</si>
  <si>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</si>
  <si>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</si>
  <si>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</si>
  <si>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</si>
  <si>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</si>
  <si>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</si>
  <si>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</si>
  <si>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</si>
  <si>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</si>
  <si>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</si>
  <si>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</si>
  <si>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</si>
  <si>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</si>
  <si>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</si>
  <si>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</si>
  <si>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</si>
  <si>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</si>
  <si>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</si>
  <si>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</si>
  <si>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</si>
  <si>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</si>
  <si>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</si>
  <si>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</si>
  <si>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</si>
  <si>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</si>
  <si>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</si>
  <si>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</si>
  <si>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</si>
  <si>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</si>
  <si>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</si>
  <si>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</si>
  <si>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</si>
  <si>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</si>
  <si>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</si>
  <si>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</si>
  <si>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</si>
  <si>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</si>
  <si>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</si>
  <si>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</si>
  <si>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</si>
  <si>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</si>
  <si>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</si>
  <si>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</si>
  <si>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</si>
  <si>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</si>
  <si>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</si>
  <si>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</si>
  <si>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</si>
  <si>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</si>
  <si>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</si>
  <si>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</si>
  <si>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</si>
  <si>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</si>
  <si>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</si>
  <si>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</si>
  <si>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</si>
  <si>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</si>
  <si>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</si>
  <si>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</si>
  <si>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</si>
  <si>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</si>
  <si>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</si>
  <si>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</si>
  <si>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</si>
  <si>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</si>
  <si>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</si>
  <si>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</si>
  <si>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</si>
  <si>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</si>
  <si>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</si>
  <si>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</si>
  <si>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</si>
  <si>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</si>
  <si>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</si>
  <si>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</si>
  <si>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</si>
  <si>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</si>
  <si>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</si>
  <si>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</si>
  <si>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</si>
  <si>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</si>
  <si>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</si>
  <si>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</si>
  <si>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</si>
  <si>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</si>
  <si>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</si>
  <si>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</si>
  <si>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</si>
  <si>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</si>
  <si>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</si>
  <si>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</si>
  <si>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</si>
  <si>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</si>
  <si>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</si>
  <si>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</si>
  <si>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</si>
  <si>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</si>
  <si>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</si>
  <si>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</si>
  <si>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</si>
  <si>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</si>
  <si>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</si>
  <si>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</si>
  <si>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</si>
  <si>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</si>
  <si>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</si>
  <si>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</si>
  <si>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</si>
  <si>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</si>
  <si>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</si>
  <si>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</si>
  <si>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</si>
  <si>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</si>
  <si>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</si>
  <si>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</si>
  <si>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</si>
  <si>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</si>
  <si>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</si>
  <si>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</si>
  <si>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</si>
  <si>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</si>
  <si>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</si>
  <si>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</si>
  <si>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</si>
  <si>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</si>
  <si>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</si>
  <si>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</si>
  <si>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</si>
  <si>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</si>
  <si>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</si>
  <si>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</si>
  <si>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</si>
  <si>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</si>
  <si>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</si>
  <si>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</si>
  <si>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</si>
  <si>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</si>
  <si>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</si>
  <si>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</si>
  <si>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</si>
  <si>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</si>
  <si>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</si>
  <si>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</si>
  <si>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</si>
  <si>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</si>
  <si>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</si>
  <si>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</si>
  <si>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</si>
  <si>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</si>
  <si>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</si>
  <si>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</si>
  <si>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</si>
  <si>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</si>
  <si>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</si>
  <si>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</si>
  <si>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</si>
  <si>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</si>
  <si>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</si>
  <si>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</si>
  <si>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</si>
  <si>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</si>
  <si>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</si>
  <si>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</si>
  <si>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</si>
  <si>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</si>
  <si>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</si>
  <si>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</si>
  <si>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</si>
  <si>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</si>
  <si>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</si>
  <si>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</si>
  <si>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</si>
  <si>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</si>
  <si>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</si>
  <si>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</si>
  <si>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</si>
  <si>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</si>
  <si>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</si>
  <si>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</si>
  <si>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</si>
  <si>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</si>
  <si>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</si>
  <si>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</si>
  <si>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</si>
  <si>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</si>
  <si>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</si>
  <si>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</si>
  <si>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</si>
  <si>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</si>
  <si>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</si>
  <si>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</si>
  <si>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</si>
  <si>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</si>
  <si>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</si>
  <si>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</si>
  <si>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</si>
  <si>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</si>
  <si>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</si>
  <si>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</si>
  <si>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</si>
  <si>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</si>
  <si>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</si>
  <si>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</si>
  <si>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</si>
  <si>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</si>
  <si>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</si>
  <si>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</si>
  <si>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</si>
  <si>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</si>
  <si>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</si>
  <si>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</si>
  <si>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</si>
  <si>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</si>
  <si>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</si>
  <si>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</si>
  <si>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</si>
  <si>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</si>
  <si>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</si>
  <si>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</si>
  <si>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</si>
  <si>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</si>
  <si>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</si>
  <si>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</si>
  <si>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</si>
  <si>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</si>
  <si>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</si>
  <si>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</si>
  <si>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</si>
  <si>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</si>
  <si>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</si>
  <si>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</si>
  <si>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</si>
  <si>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</si>
  <si>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</si>
  <si>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</si>
  <si>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</si>
  <si>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</si>
  <si>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</si>
  <si>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</si>
  <si>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</si>
  <si>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</si>
  <si>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</si>
  <si>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</si>
  <si>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</si>
  <si>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</si>
  <si>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</si>
  <si>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</si>
  <si>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</si>
  <si>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</si>
  <si>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</si>
  <si>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</si>
  <si>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</si>
  <si>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</si>
  <si>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</si>
  <si>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</si>
  <si>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</si>
  <si>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</si>
  <si>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</si>
  <si>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</si>
  <si>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</si>
  <si>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</si>
  <si>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</si>
  <si>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</si>
  <si>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</si>
  <si>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</si>
  <si>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</si>
  <si>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</si>
  <si>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</si>
  <si>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</si>
  <si>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</si>
  <si>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</si>
  <si>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</si>
  <si>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</si>
  <si>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</si>
  <si>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</si>
  <si>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</si>
  <si>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</si>
  <si>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</si>
  <si>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</si>
  <si>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</si>
  <si>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</si>
  <si>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</si>
  <si>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</si>
  <si>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</si>
  <si>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</si>
  <si>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</si>
  <si>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</si>
  <si>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</si>
  <si>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</si>
  <si>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</si>
  <si>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</si>
  <si>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</si>
  <si>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</si>
  <si>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</si>
  <si>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</si>
  <si>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</si>
  <si>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</si>
  <si>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</si>
  <si>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</si>
  <si>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</si>
  <si>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</si>
  <si>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</si>
  <si>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</si>
  <si>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</si>
  <si>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</si>
  <si>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</si>
  <si>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</si>
  <si>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</si>
  <si>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</si>
  <si>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</si>
  <si>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</si>
  <si>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</si>
  <si>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</si>
  <si>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</si>
  <si>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</si>
  <si>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</si>
  <si>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</si>
  <si>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</si>
  <si>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</si>
  <si>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</si>
  <si>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</si>
  <si>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</si>
  <si>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</si>
  <si>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</si>
  <si>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</si>
  <si>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</si>
  <si>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</si>
  <si>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</si>
  <si>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</si>
  <si>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</si>
  <si>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</si>
  <si>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</si>
  <si>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</si>
  <si>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</si>
  <si>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</si>
  <si>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</si>
  <si>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</si>
  <si>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</si>
  <si>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</si>
  <si>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</si>
  <si>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</si>
  <si>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</si>
  <si>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</si>
  <si>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</si>
  <si>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</si>
  <si>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</si>
  <si>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</si>
  <si>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</si>
  <si>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</si>
  <si>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</si>
  <si>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</si>
  <si>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</si>
  <si>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</si>
  <si>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</si>
  <si>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</si>
  <si>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</si>
  <si>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</si>
  <si>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</si>
  <si>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</si>
  <si>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</si>
  <si>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</si>
  <si>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</si>
  <si>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</si>
  <si>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</si>
  <si>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</si>
  <si>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</si>
  <si>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</si>
  <si>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</si>
  <si>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</si>
  <si>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</si>
  <si>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</si>
  <si>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</si>
  <si>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</si>
  <si>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</si>
  <si>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</si>
  <si>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</si>
  <si>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</si>
  <si>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</si>
  <si>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</si>
  <si>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</si>
  <si>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</si>
  <si>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</si>
  <si>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</si>
  <si>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</si>
  <si>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</si>
  <si>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</si>
  <si>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</si>
  <si>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</si>
  <si>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</si>
  <si>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</si>
  <si>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</si>
  <si>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</si>
  <si>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</si>
  <si>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</si>
  <si>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</si>
  <si>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</si>
  <si>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</si>
  <si>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</si>
  <si>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</si>
  <si>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</si>
  <si>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</si>
  <si>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</si>
  <si>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</si>
  <si>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</si>
  <si>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</si>
  <si>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</si>
  <si>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</si>
  <si>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</si>
  <si>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</si>
  <si>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</si>
  <si>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</si>
  <si>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</si>
  <si>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</si>
  <si>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</si>
  <si>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</si>
  <si>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</si>
  <si>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</si>
  <si>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</si>
  <si>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</si>
  <si>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</si>
  <si>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</si>
  <si>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</si>
  <si>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</si>
  <si>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</si>
  <si>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</si>
  <si>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</si>
  <si>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</si>
  <si>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</si>
  <si>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</si>
  <si>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</si>
  <si>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</si>
  <si>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</si>
  <si>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</si>
  <si>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</si>
  <si>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</si>
  <si>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</si>
  <si>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</si>
  <si>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</si>
  <si>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</si>
  <si>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</si>
  <si>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</si>
  <si>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</si>
  <si>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</si>
  <si>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</si>
  <si>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</si>
  <si>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</si>
  <si>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</si>
  <si>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</si>
  <si>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</si>
  <si>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</si>
  <si>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</si>
  <si>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</si>
  <si>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</si>
  <si>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</si>
  <si>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</si>
  <si>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</si>
  <si>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</si>
  <si>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</si>
  <si>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</si>
  <si>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</si>
  <si>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</si>
  <si>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</si>
  <si>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</si>
  <si>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</si>
  <si>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</si>
  <si>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</si>
  <si>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</si>
  <si>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</si>
  <si>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</si>
  <si>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</si>
  <si>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</si>
  <si>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</si>
  <si>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</si>
  <si>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</si>
  <si>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</si>
  <si>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</si>
  <si>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</si>
  <si>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</si>
  <si>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</si>
  <si>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</si>
  <si>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</si>
  <si>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</si>
  <si>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</si>
  <si>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</si>
  <si>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</si>
  <si>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</si>
  <si>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</si>
  <si>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</si>
  <si>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</si>
  <si>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</si>
  <si>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</si>
  <si>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</si>
  <si>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</si>
  <si>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</si>
  <si>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</si>
  <si>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</si>
  <si>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</si>
  <si>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</si>
  <si>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</si>
  <si>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</si>
  <si>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</si>
  <si>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</si>
  <si>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</si>
  <si>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</si>
  <si>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</si>
  <si>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</si>
  <si>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</si>
  <si>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</si>
  <si>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</si>
  <si>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</si>
  <si>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</si>
  <si>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</si>
  <si>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</si>
  <si>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</si>
  <si>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</si>
  <si>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</si>
  <si>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</si>
  <si>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</si>
  <si>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</si>
  <si>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</si>
  <si>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</si>
  <si>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</si>
  <si>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</si>
  <si>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</si>
  <si>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</si>
  <si>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</si>
  <si>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</si>
  <si>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</si>
  <si>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</si>
  <si>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</si>
  <si>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</si>
  <si>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</si>
  <si>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</si>
  <si>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</si>
  <si>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</si>
  <si>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</si>
  <si>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</si>
  <si>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</si>
  <si>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</si>
  <si>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</si>
  <si>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</si>
  <si>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</si>
  <si>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</si>
  <si>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</si>
  <si>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</si>
  <si>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</si>
  <si>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</si>
  <si>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</si>
  <si>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</si>
  <si>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</si>
  <si>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</si>
  <si>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</si>
  <si>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</si>
  <si>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</si>
  <si>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</si>
  <si>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</si>
  <si>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</si>
  <si>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</si>
  <si>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</si>
  <si>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</si>
  <si>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</si>
  <si>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</si>
  <si>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</si>
  <si>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</si>
  <si>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</si>
  <si>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</si>
  <si>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</si>
  <si>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</si>
  <si>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</si>
  <si>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</si>
  <si>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</si>
  <si>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</si>
  <si>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</si>
  <si>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</si>
  <si>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</si>
  <si>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</si>
  <si>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</si>
  <si>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</si>
  <si>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</si>
  <si>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</si>
  <si>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</si>
  <si>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</si>
  <si>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</si>
  <si>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</si>
  <si>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</si>
  <si>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</si>
  <si>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</si>
  <si>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</si>
  <si>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</si>
  <si>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</si>
  <si>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</si>
  <si>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</si>
  <si>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</si>
  <si>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</si>
  <si>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</si>
  <si>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</si>
  <si>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</si>
  <si>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</si>
  <si>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</si>
  <si>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</si>
  <si>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</si>
  <si>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</si>
  <si>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</si>
  <si>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</si>
  <si>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</si>
  <si>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</si>
  <si>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</si>
  <si>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</si>
  <si>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</si>
  <si>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</si>
  <si>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</si>
  <si>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</si>
  <si>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</si>
  <si>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</si>
  <si>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</si>
  <si>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</si>
  <si>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</si>
  <si>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</si>
  <si>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</si>
  <si>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</si>
  <si>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</si>
  <si>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</si>
  <si>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</si>
  <si>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</si>
  <si>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</si>
  <si>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</si>
  <si>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</si>
  <si>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</si>
  <si>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</si>
  <si>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</si>
  <si>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</si>
  <si>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</si>
  <si>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</si>
  <si>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</si>
  <si>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</si>
  <si>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</si>
  <si>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</si>
  <si>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</si>
  <si>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</si>
  <si>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</si>
  <si>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</si>
  <si>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</si>
  <si>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</si>
  <si>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</si>
  <si>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</si>
  <si>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</si>
  <si>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</si>
  <si>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</si>
  <si>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</si>
  <si>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</si>
  <si>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</si>
  <si>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</si>
  <si>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</si>
  <si>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</si>
  <si>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</si>
  <si>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</si>
  <si>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</si>
  <si>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</si>
  <si>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</si>
  <si>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</si>
  <si>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</si>
  <si>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</si>
  <si>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</si>
  <si>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</si>
  <si>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</si>
  <si>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</si>
  <si>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</si>
  <si>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</si>
  <si>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</si>
  <si>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</si>
  <si>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</si>
  <si>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</si>
  <si>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</si>
  <si>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</si>
  <si>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</si>
  <si>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</si>
  <si>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</si>
  <si>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</si>
  <si>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</si>
  <si>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</si>
  <si>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</si>
  <si>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</si>
  <si>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</si>
  <si>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</si>
  <si>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</si>
  <si>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</si>
  <si>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</si>
  <si>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</si>
  <si>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</si>
  <si>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</si>
  <si>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</si>
  <si>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</si>
  <si>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</si>
  <si>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</si>
  <si>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</si>
  <si>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</si>
  <si>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</si>
  <si>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</si>
  <si>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</si>
  <si>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</si>
  <si>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</si>
  <si>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</si>
  <si>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</si>
  <si>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</si>
  <si>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</si>
  <si>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</si>
  <si>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</si>
  <si>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</si>
  <si>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</si>
  <si>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</si>
  <si>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</si>
  <si>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</si>
  <si>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</si>
  <si>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</si>
  <si>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</si>
  <si>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</si>
  <si>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</si>
  <si>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</si>
  <si>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</si>
  <si>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</si>
  <si>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</si>
  <si>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</si>
  <si>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</si>
  <si>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</si>
  <si>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</si>
  <si>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</si>
  <si>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</si>
  <si>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</si>
  <si>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</si>
  <si>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</si>
  <si>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</si>
  <si>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</si>
  <si>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</si>
  <si>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</si>
  <si>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</si>
  <si>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</si>
  <si>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</si>
  <si>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</si>
  <si>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</si>
  <si>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</si>
  <si>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</si>
  <si>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</si>
  <si>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</si>
  <si>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</si>
  <si>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</si>
  <si>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</si>
  <si>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</si>
  <si>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</si>
  <si>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</si>
  <si>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</si>
  <si>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</si>
  <si>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</si>
  <si>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</si>
  <si>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</si>
  <si>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</si>
  <si>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</si>
  <si>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</si>
  <si>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</si>
  <si>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</si>
  <si>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</si>
  <si>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</si>
  <si>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</si>
  <si>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</si>
  <si>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</si>
  <si>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</si>
  <si>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</si>
  <si>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</si>
  <si>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</si>
  <si>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</si>
  <si>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</si>
  <si>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</si>
  <si>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</si>
  <si>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</si>
  <si>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</si>
  <si>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</si>
  <si>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</si>
  <si>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</si>
  <si>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</si>
  <si>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</si>
  <si>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</si>
  <si>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</si>
  <si>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</si>
  <si>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</si>
  <si>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</si>
  <si>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</si>
  <si>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</si>
  <si>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</si>
  <si>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</si>
  <si>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</si>
  <si>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</si>
  <si>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</si>
  <si>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</si>
  <si>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</si>
  <si>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</si>
  <si>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</si>
  <si>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</si>
  <si>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</si>
  <si>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</si>
  <si>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</si>
  <si>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</si>
  <si>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</si>
  <si>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</si>
  <si>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</si>
  <si>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</si>
  <si>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</si>
  <si>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</si>
  <si>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</si>
  <si>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</si>
  <si>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</si>
  <si>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</si>
  <si>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</si>
  <si>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</si>
  <si>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</si>
  <si>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</si>
  <si>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</si>
  <si>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</si>
  <si>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</si>
  <si>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</si>
  <si>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</si>
  <si>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</si>
  <si>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</si>
  <si>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</si>
  <si>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</si>
  <si>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</si>
  <si>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</si>
  <si>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</si>
  <si>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</si>
  <si>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</si>
  <si>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</si>
  <si>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</si>
  <si>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</si>
  <si>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</si>
  <si>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</si>
  <si>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</si>
  <si>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</si>
  <si>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</si>
  <si>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</si>
  <si>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</si>
  <si>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</si>
  <si>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</si>
  <si>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</si>
  <si>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</si>
  <si>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</si>
  <si>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</si>
  <si>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</si>
  <si>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</si>
  <si>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</si>
  <si>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</si>
  <si>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</si>
  <si>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</si>
  <si>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</si>
  <si>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</si>
  <si>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</si>
  <si>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</si>
  <si>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</si>
  <si>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</si>
  <si>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</si>
  <si>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</si>
  <si>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</si>
  <si>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</si>
  <si>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</si>
  <si>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</si>
  <si>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</si>
  <si>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</si>
  <si>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</si>
  <si>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</si>
  <si>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</si>
  <si>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</si>
  <si>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</si>
  <si>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</si>
  <si>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</si>
  <si>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</si>
  <si>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</si>
  <si>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</si>
  <si>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</si>
  <si>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</si>
  <si>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</si>
  <si>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</si>
  <si>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</si>
  <si>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</si>
  <si>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</si>
  <si>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</si>
  <si>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</si>
  <si>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</si>
  <si>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</si>
  <si>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</si>
  <si>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</si>
  <si>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</si>
  <si>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</si>
  <si>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</si>
  <si>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</si>
  <si>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</si>
  <si>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</si>
  <si>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</si>
  <si>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</si>
  <si>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</si>
  <si>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</si>
  <si>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</si>
  <si>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</si>
  <si>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</si>
  <si>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</si>
  <si>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</si>
  <si>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</si>
  <si>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</si>
  <si>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</si>
  <si>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</si>
  <si>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</si>
  <si>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</si>
  <si>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</si>
  <si>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</si>
  <si>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</si>
  <si>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</si>
  <si>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</si>
  <si>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</si>
  <si>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</si>
  <si>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</si>
  <si>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</si>
  <si>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</si>
  <si>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</si>
  <si>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</si>
  <si>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</si>
  <si>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</si>
  <si>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</si>
  <si>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</si>
  <si>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</si>
  <si>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</si>
  <si>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</si>
  <si>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</si>
  <si>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</si>
  <si>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</si>
  <si>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</si>
  <si>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</si>
  <si>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</si>
  <si>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</si>
  <si>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</si>
  <si>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</si>
  <si>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</si>
  <si>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</si>
  <si>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</si>
  <si>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</si>
  <si>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</si>
  <si>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</si>
  <si>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</si>
  <si>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</si>
  <si>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</si>
  <si>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</si>
  <si>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</si>
  <si>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</si>
  <si>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</si>
  <si>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</si>
  <si>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</si>
  <si>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</si>
  <si>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</si>
  <si>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</si>
  <si>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</si>
  <si>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</si>
  <si>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</si>
  <si>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</si>
  <si>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</si>
  <si>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</si>
  <si>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</si>
  <si>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</si>
  <si>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</si>
  <si>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</si>
  <si>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</si>
  <si>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</si>
  <si>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</si>
  <si>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</si>
  <si>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</si>
  <si>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</si>
  <si>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</si>
  <si>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</si>
  <si>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</si>
  <si>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</si>
  <si>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</si>
  <si>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</si>
  <si>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</si>
  <si>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</si>
  <si>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</si>
  <si>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</si>
  <si>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</si>
  <si>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</si>
  <si>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</si>
  <si>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</si>
  <si>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</si>
  <si>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</si>
  <si>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</si>
  <si>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</si>
  <si>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</si>
  <si>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</si>
  <si>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</si>
  <si>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</si>
  <si>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</si>
  <si>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</si>
  <si>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</si>
  <si>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</si>
  <si>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</si>
  <si>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</si>
  <si>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</si>
  <si>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</si>
  <si>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</si>
  <si>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</si>
  <si>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</si>
  <si>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</si>
  <si>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</si>
  <si>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</si>
  <si>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</si>
  <si>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</si>
  <si>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</si>
  <si>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</si>
  <si>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</si>
  <si>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</si>
  <si>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</si>
  <si>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</si>
  <si>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</si>
  <si>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</si>
  <si>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</si>
  <si>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</si>
  <si>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</si>
  <si>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</si>
  <si>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</si>
  <si>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</si>
  <si>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</si>
  <si>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</si>
  <si>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</si>
  <si>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</si>
  <si>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</si>
  <si>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</si>
  <si>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</si>
  <si>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</si>
  <si>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</si>
  <si>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</si>
  <si>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</si>
  <si>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</si>
  <si>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</si>
  <si>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</si>
  <si>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</si>
  <si>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</si>
  <si>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</si>
  <si>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</si>
  <si>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</si>
  <si>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</si>
  <si>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</si>
  <si>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</si>
  <si>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</si>
  <si>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</si>
  <si>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</si>
  <si>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</si>
  <si>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</si>
  <si>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</si>
  <si>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</si>
  <si>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</si>
  <si>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</si>
  <si>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</si>
  <si>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</si>
  <si>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</si>
  <si>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</si>
  <si>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</si>
  <si>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</si>
  <si>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</si>
  <si>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</si>
  <si>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</si>
  <si>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</si>
  <si>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</si>
  <si>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</si>
  <si>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</si>
  <si>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</si>
  <si>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</si>
  <si>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</si>
  <si>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</si>
  <si>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</si>
  <si>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</si>
  <si>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</si>
  <si>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</si>
  <si>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</si>
  <si>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</si>
  <si>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</si>
  <si>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</si>
  <si>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</si>
  <si>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</si>
  <si>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</si>
  <si>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</si>
  <si>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</si>
  <si>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</si>
  <si>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</si>
  <si>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</si>
  <si>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</si>
  <si>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</si>
  <si>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</si>
  <si>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</si>
  <si>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</si>
  <si>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</si>
  <si>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</si>
  <si>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</si>
  <si>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</si>
  <si>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</si>
  <si>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</si>
  <si>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</si>
  <si>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</si>
  <si>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</si>
  <si>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</si>
  <si>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</si>
  <si>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</si>
  <si>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</si>
  <si>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</si>
  <si>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</si>
  <si>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</si>
  <si>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</si>
  <si>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</si>
  <si>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</si>
  <si>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</si>
  <si>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</si>
  <si>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</si>
  <si>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</si>
  <si>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</si>
  <si>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</si>
  <si>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</si>
  <si>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</si>
  <si>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</si>
  <si>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</si>
  <si>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</si>
  <si>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</si>
  <si>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</si>
  <si>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</si>
  <si>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</si>
  <si>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</si>
  <si>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</si>
  <si>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</si>
  <si>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</si>
  <si>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</si>
  <si>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</si>
  <si>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</si>
  <si>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</si>
  <si>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</si>
  <si>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</si>
  <si>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</si>
  <si>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</si>
  <si>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</si>
  <si>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</si>
  <si>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</si>
  <si>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</si>
  <si>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</si>
  <si>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</si>
  <si>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</si>
  <si>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</si>
  <si>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</si>
  <si>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</si>
  <si>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</si>
  <si>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</si>
  <si>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</si>
  <si>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</si>
  <si>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</si>
  <si>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</si>
  <si>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</si>
  <si>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</si>
  <si>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</si>
  <si>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</si>
  <si>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</si>
  <si>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</si>
  <si>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</si>
  <si>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</si>
  <si>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</si>
  <si>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</si>
  <si>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</si>
  <si>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</si>
  <si>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</si>
  <si>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</si>
  <si>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</si>
  <si>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</si>
  <si>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</si>
  <si>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</si>
  <si>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</si>
  <si>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</si>
  <si>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</si>
  <si>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</si>
  <si>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</si>
  <si>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</si>
  <si>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</si>
  <si>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</si>
  <si>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</si>
  <si>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</si>
  <si>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</si>
  <si>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</si>
  <si>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</si>
  <si>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</si>
  <si>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</si>
  <si>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</si>
  <si>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</si>
  <si>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</si>
  <si>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</si>
  <si>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</si>
  <si>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</si>
  <si>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</si>
  <si>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</si>
  <si>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</si>
  <si>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</si>
  <si>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</si>
  <si>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</si>
  <si>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</si>
  <si>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</si>
  <si>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</si>
  <si>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</si>
  <si>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</si>
  <si>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</si>
  <si>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</si>
  <si>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</si>
  <si>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</si>
  <si>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</si>
  <si>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</si>
  <si>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</si>
  <si>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</si>
  <si>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</si>
  <si>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</si>
  <si>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</si>
  <si>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</si>
  <si>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</si>
  <si>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</si>
  <si>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</si>
  <si>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</si>
  <si>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</si>
  <si>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</si>
  <si>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</si>
  <si>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</si>
  <si>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</si>
  <si>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</si>
  <si>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</si>
  <si>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</si>
  <si>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</si>
  <si>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</si>
  <si>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</si>
  <si>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</si>
  <si>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</si>
  <si>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</si>
  <si>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</si>
  <si>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</si>
  <si>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</si>
  <si>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</si>
  <si>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</si>
  <si>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</si>
  <si>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</si>
  <si>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</si>
  <si>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</si>
  <si>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</si>
  <si>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</si>
  <si>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</si>
  <si>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</si>
  <si>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</si>
  <si>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</si>
  <si>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</si>
  <si>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</si>
  <si>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</si>
  <si>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</si>
  <si>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</si>
  <si>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</si>
  <si>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</si>
  <si>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</si>
  <si>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</si>
  <si>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</si>
  <si>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</si>
  <si>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</si>
  <si>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</si>
  <si>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</si>
  <si>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</si>
  <si>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</si>
  <si>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</si>
  <si>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</si>
  <si>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</si>
  <si>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</si>
  <si>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</si>
  <si>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</si>
  <si>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</si>
  <si>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</si>
  <si>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</si>
  <si>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</si>
  <si>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</si>
  <si>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</si>
  <si>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</si>
  <si>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</si>
  <si>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</si>
  <si>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</si>
  <si>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</si>
  <si>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</si>
  <si>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</si>
  <si>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</si>
  <si>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</si>
  <si>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</si>
  <si>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</si>
  <si>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</si>
  <si>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</si>
  <si>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</si>
  <si>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</si>
  <si>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</si>
  <si>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</si>
  <si>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</si>
  <si>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</si>
  <si>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</si>
  <si>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</si>
  <si>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</si>
  <si>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</si>
  <si>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</si>
  <si>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</si>
  <si>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</si>
  <si>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</si>
  <si>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</si>
  <si>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</si>
  <si>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</si>
  <si>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</si>
  <si>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</si>
  <si>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</si>
  <si>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</si>
  <si>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</si>
  <si>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</si>
  <si>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</si>
  <si>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</si>
  <si>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</si>
  <si>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</si>
  <si>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</si>
  <si>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</si>
  <si>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</si>
  <si>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</si>
  <si>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</si>
  <si>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</si>
  <si>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</si>
  <si>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</si>
  <si>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</si>
  <si>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</si>
  <si>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</si>
  <si>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</si>
  <si>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</si>
  <si>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</si>
  <si>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</si>
  <si>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</si>
  <si>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</si>
  <si>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</si>
  <si>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</si>
  <si>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</si>
  <si>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</si>
  <si>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</si>
  <si>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</si>
  <si>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</si>
  <si>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</si>
  <si>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</si>
  <si>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</si>
  <si>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</si>
  <si>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</si>
  <si>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</si>
  <si>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</si>
  <si>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</si>
  <si>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</si>
  <si>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</si>
  <si>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</si>
  <si>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</si>
  <si>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</si>
  <si>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</si>
  <si>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</si>
  <si>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</si>
  <si>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</si>
  <si>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</si>
  <si>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</si>
  <si>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</si>
  <si>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</si>
  <si>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</si>
  <si>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</si>
  <si>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</si>
  <si>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</si>
  <si>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</si>
  <si>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</si>
  <si>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</si>
  <si>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</si>
  <si>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</si>
  <si>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</si>
  <si>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</si>
  <si>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</si>
  <si>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</si>
  <si>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</si>
  <si>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</si>
  <si>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</si>
  <si>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</si>
  <si>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</si>
  <si>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</si>
  <si>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</si>
  <si>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</si>
  <si>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</si>
  <si>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</si>
  <si>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</si>
  <si>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</si>
  <si>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</si>
  <si>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</si>
  <si>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</si>
  <si>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</si>
  <si>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</si>
  <si>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</si>
  <si>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</si>
  <si>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</si>
  <si>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</si>
  <si>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</si>
  <si>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</si>
  <si>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</si>
  <si>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</si>
  <si>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</si>
  <si>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</si>
  <si>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</si>
  <si>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</si>
  <si>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</si>
  <si>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</si>
  <si>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</si>
  <si>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</si>
  <si>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</si>
  <si>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</si>
  <si>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</si>
  <si>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</si>
  <si>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</si>
  <si>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</si>
  <si>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</si>
  <si>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</si>
  <si>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</si>
  <si>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</si>
  <si>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</si>
  <si>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</si>
  <si>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</si>
  <si>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</si>
  <si>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</si>
  <si>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</si>
  <si>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</si>
  <si>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</si>
  <si>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</si>
  <si>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</si>
  <si>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</si>
  <si>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</si>
  <si>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</si>
  <si>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</si>
  <si>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</si>
  <si>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</si>
  <si>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</si>
  <si>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</si>
  <si>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</si>
  <si>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</si>
  <si>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</si>
  <si>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</si>
  <si>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</si>
  <si>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</si>
  <si>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</si>
  <si>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</si>
  <si>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</si>
  <si>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</si>
  <si>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</si>
  <si>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</si>
  <si>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</si>
  <si>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</si>
  <si>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</si>
  <si>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</si>
  <si>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</si>
  <si>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</si>
  <si>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</si>
  <si>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</si>
  <si>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</si>
  <si>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</si>
  <si>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</si>
  <si>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</si>
  <si>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</si>
  <si>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</si>
  <si>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</si>
  <si>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</si>
  <si>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</si>
  <si>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</si>
  <si>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</si>
  <si>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</si>
  <si>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</si>
  <si>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</si>
  <si>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</si>
  <si>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</si>
  <si>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</si>
  <si>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</si>
  <si>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</si>
  <si>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</si>
  <si>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</si>
  <si>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</si>
  <si>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</si>
  <si>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</si>
  <si>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</si>
  <si>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</si>
  <si>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</si>
  <si>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</si>
  <si>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</si>
  <si>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</si>
  <si>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</si>
  <si>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</si>
  <si>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</si>
  <si>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</si>
  <si>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</si>
  <si>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</si>
  <si>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</si>
  <si>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</si>
  <si>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</si>
  <si>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</si>
  <si>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</si>
  <si>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</si>
  <si>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</si>
  <si>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</si>
  <si>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</si>
  <si>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</si>
  <si>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</si>
  <si>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</si>
  <si>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</si>
  <si>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</si>
  <si>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</si>
  <si>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</si>
  <si>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</si>
  <si>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</si>
  <si>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</si>
  <si>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</si>
  <si>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</si>
  <si>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</si>
  <si>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</si>
  <si>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</si>
  <si>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</si>
  <si>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</si>
  <si>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</si>
  <si>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</si>
  <si>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</si>
  <si>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</si>
  <si>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</si>
  <si>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</si>
  <si>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</si>
  <si>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</si>
  <si>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</si>
  <si>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</si>
  <si>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</si>
  <si>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</si>
  <si>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</si>
  <si>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</si>
  <si>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</si>
  <si>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</si>
  <si>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</si>
  <si>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</si>
  <si>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</si>
  <si>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</si>
  <si>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</si>
  <si>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</si>
  <si>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</si>
  <si>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</si>
  <si>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</si>
  <si>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</si>
  <si>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</si>
  <si>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</si>
  <si>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</si>
  <si>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</si>
  <si>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</si>
  <si>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</si>
  <si>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</si>
  <si>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</si>
  <si>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</si>
  <si>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</si>
  <si>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</si>
  <si>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</si>
  <si>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</si>
  <si>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</si>
  <si>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</si>
  <si>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</si>
  <si>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</si>
  <si>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</si>
  <si>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</si>
  <si>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</si>
  <si>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</si>
  <si>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</si>
  <si>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</si>
  <si>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</si>
  <si>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</si>
  <si>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</si>
  <si>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</si>
  <si>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</si>
  <si>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</si>
  <si>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</si>
  <si>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</si>
  <si>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</si>
  <si>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</si>
  <si>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</si>
  <si>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</si>
  <si>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</si>
  <si>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</si>
  <si>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</si>
  <si>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</si>
  <si>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</si>
  <si>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</si>
  <si>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</si>
  <si>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</si>
  <si>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</si>
  <si>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</si>
  <si>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</si>
  <si>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</si>
  <si>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</si>
  <si>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</si>
  <si>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</si>
  <si>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</si>
  <si>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</si>
  <si>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</si>
  <si>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</si>
  <si>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</si>
  <si>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</si>
  <si>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</si>
  <si>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</si>
  <si>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</si>
  <si>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</si>
  <si>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</si>
  <si>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</si>
  <si>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</si>
  <si>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</si>
  <si>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</si>
  <si>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</si>
  <si>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</si>
  <si>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</si>
  <si>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</si>
  <si>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</si>
  <si>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</si>
  <si>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</si>
  <si>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</si>
  <si>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</si>
  <si>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</si>
  <si>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</si>
  <si>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</si>
  <si>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</si>
  <si>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</si>
  <si>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</si>
  <si>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</si>
  <si>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</si>
  <si>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</si>
  <si>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</si>
  <si>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</si>
  <si>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</si>
  <si>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</si>
  <si>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</si>
  <si>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</si>
  <si>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</si>
  <si>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</si>
  <si>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</si>
  <si>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</si>
  <si>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</si>
  <si>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</si>
  <si>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</si>
  <si>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</si>
  <si>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</si>
  <si>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</si>
  <si>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</si>
  <si>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</si>
  <si>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</si>
  <si>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</si>
  <si>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</si>
  <si>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</si>
  <si>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</si>
  <si>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</si>
  <si>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</si>
  <si>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</si>
  <si>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</si>
  <si>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</si>
  <si>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</si>
  <si>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</si>
  <si>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</si>
  <si>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</si>
  <si>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</si>
  <si>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</si>
  <si>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</si>
  <si>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</si>
  <si>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</si>
  <si>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</si>
  <si>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</si>
  <si>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</si>
  <si>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</si>
  <si>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</si>
  <si>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</si>
  <si>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</si>
  <si>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</si>
  <si>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</si>
  <si>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</si>
  <si>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</si>
  <si>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</si>
  <si>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</si>
  <si>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</si>
  <si>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</si>
  <si>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</si>
  <si>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</si>
  <si>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</si>
  <si>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</si>
  <si>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</si>
  <si>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</si>
  <si>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</si>
  <si>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</si>
  <si>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</si>
  <si>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</si>
  <si>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</si>
  <si>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</si>
  <si>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</si>
  <si>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</si>
  <si>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</si>
  <si>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</si>
  <si>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</si>
  <si>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</si>
  <si>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</si>
  <si>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</si>
  <si>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</si>
  <si>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</si>
  <si>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</si>
  <si>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</si>
  <si>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</si>
  <si>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</si>
  <si>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</si>
  <si>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</si>
  <si>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</si>
  <si>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</si>
  <si>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</si>
  <si>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</si>
  <si>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</si>
  <si>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</si>
  <si>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</si>
  <si>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</si>
  <si>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</si>
  <si>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</si>
  <si>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</si>
  <si>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</si>
  <si>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</si>
  <si>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</si>
  <si>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</si>
  <si>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</si>
  <si>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</si>
  <si>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</si>
  <si>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</si>
  <si>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</si>
  <si>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</si>
  <si>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</si>
  <si>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</si>
  <si>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</si>
  <si>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</si>
  <si>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</si>
  <si>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</si>
  <si>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</si>
  <si>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</si>
  <si>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</si>
  <si>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</si>
  <si>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</si>
  <si>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</si>
  <si>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</si>
  <si>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</si>
  <si>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</si>
  <si>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</si>
  <si>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</si>
  <si>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</si>
  <si>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</si>
  <si>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</si>
  <si>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</si>
  <si>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</si>
  <si>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</si>
  <si>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</si>
  <si>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</si>
  <si>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</si>
  <si>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</si>
  <si>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</si>
  <si>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</si>
  <si>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</si>
  <si>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</si>
  <si>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</si>
  <si>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</si>
  <si>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</si>
  <si>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</si>
  <si>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</si>
  <si>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</si>
  <si>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</si>
  <si>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</si>
  <si>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</si>
  <si>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</si>
  <si>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</si>
  <si>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</si>
  <si>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</si>
  <si>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</si>
  <si>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</si>
  <si>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</si>
  <si>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</si>
  <si>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</si>
  <si>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</si>
  <si>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</si>
  <si>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</si>
  <si>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</si>
  <si>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</si>
  <si>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</si>
  <si>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</si>
  <si>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</si>
  <si>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</si>
  <si>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</si>
  <si>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</si>
  <si>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</si>
  <si>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</si>
  <si>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</si>
  <si>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</si>
  <si>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</si>
  <si>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</si>
  <si>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</si>
  <si>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</si>
  <si>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</si>
  <si>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</si>
  <si>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</si>
  <si>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</si>
  <si>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</si>
  <si>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</si>
  <si>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</si>
  <si>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</si>
  <si>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</si>
  <si>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</si>
  <si>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</si>
  <si>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</si>
  <si>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</si>
  <si>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</si>
  <si>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</si>
  <si>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</si>
  <si>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</si>
  <si>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</si>
  <si>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</si>
  <si>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</si>
  <si>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</si>
  <si>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</si>
  <si>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</si>
  <si>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</si>
  <si>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</si>
  <si>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</si>
  <si>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</si>
  <si>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</si>
  <si>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</si>
  <si>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</si>
  <si>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</si>
  <si>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</si>
  <si>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</si>
  <si>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</si>
  <si>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</si>
  <si>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</si>
  <si>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</si>
  <si>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</si>
  <si>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</si>
  <si>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</si>
  <si>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</si>
  <si>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</si>
  <si>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</si>
  <si>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</si>
  <si>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</si>
  <si>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</si>
  <si>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</si>
  <si>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</si>
  <si>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</si>
  <si>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</si>
  <si>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</si>
  <si>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</si>
  <si>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</si>
  <si>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</si>
  <si>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</si>
  <si>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</si>
  <si>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</si>
  <si>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</si>
  <si>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</si>
  <si>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</si>
  <si>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</si>
  <si>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</si>
  <si>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</si>
  <si>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</si>
  <si>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</si>
  <si>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</si>
  <si>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</si>
  <si>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</si>
  <si>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</si>
  <si>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</si>
  <si>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</si>
  <si>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</si>
  <si>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</si>
  <si>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</si>
  <si>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</si>
  <si>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</si>
  <si>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</si>
  <si>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</si>
  <si>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</si>
  <si>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</si>
  <si>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</si>
  <si>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</si>
  <si>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</si>
  <si>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</si>
  <si>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</si>
  <si>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</si>
  <si>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</si>
  <si>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</si>
  <si>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</si>
  <si>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</si>
  <si>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</si>
  <si>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</si>
  <si>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</si>
  <si>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</si>
  <si>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</si>
  <si>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</si>
  <si>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</si>
  <si>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</si>
  <si>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</si>
  <si>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</si>
  <si>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</si>
  <si>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</si>
  <si>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</si>
  <si>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</si>
  <si>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</si>
  <si>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</si>
  <si>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</si>
  <si>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</si>
  <si>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</si>
  <si>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</si>
  <si>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</si>
  <si>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</si>
  <si>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</si>
  <si>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</si>
  <si>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</si>
  <si>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</si>
  <si>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</si>
  <si>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</si>
  <si>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</si>
  <si>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</si>
  <si>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</si>
  <si>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</si>
  <si>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</si>
  <si>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</si>
  <si>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</si>
  <si>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</si>
  <si>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</si>
  <si>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</si>
  <si>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</si>
  <si>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</si>
  <si>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</si>
  <si>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</si>
  <si>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</si>
  <si>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</si>
  <si>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</si>
  <si>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</si>
  <si>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</si>
  <si>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</si>
  <si>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</si>
  <si>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</si>
  <si>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</si>
  <si>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</si>
  <si>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</si>
  <si>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</si>
  <si>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</si>
  <si>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</si>
  <si>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</si>
  <si>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</si>
  <si>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</si>
  <si>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</si>
  <si>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</si>
  <si>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</si>
  <si>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</si>
  <si>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</si>
  <si>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</si>
  <si>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</si>
  <si>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</si>
  <si>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</si>
  <si>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</si>
  <si>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</si>
  <si>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</si>
  <si>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</si>
  <si>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</si>
  <si>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</si>
  <si>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</si>
  <si>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</si>
  <si>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</si>
  <si>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</si>
  <si>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</si>
  <si>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</si>
  <si>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</si>
  <si>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</si>
  <si>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</si>
  <si>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</si>
  <si>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</si>
  <si>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</si>
  <si>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</si>
  <si>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</si>
  <si>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</si>
  <si>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</si>
  <si>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</si>
  <si>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</si>
  <si>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</si>
  <si>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</si>
  <si>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</si>
  <si>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</si>
  <si>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</si>
  <si>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</si>
  <si>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</si>
  <si>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</si>
  <si>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</si>
  <si>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</si>
  <si>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</si>
  <si>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</si>
  <si>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</si>
  <si>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</si>
  <si>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</si>
  <si>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</si>
  <si>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</si>
  <si>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</si>
  <si>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</si>
  <si>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</si>
  <si>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</si>
  <si>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</si>
  <si>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</si>
  <si>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</si>
  <si>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</si>
  <si>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</si>
  <si>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</si>
  <si>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</si>
  <si>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</si>
  <si>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</si>
  <si>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</si>
  <si>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</si>
  <si>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</si>
  <si>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</si>
  <si>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</si>
  <si>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</si>
  <si>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</si>
  <si>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</si>
  <si>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</si>
  <si>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</si>
  <si>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</si>
  <si>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</si>
  <si>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</si>
  <si>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</si>
  <si>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</si>
  <si>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</si>
  <si>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</si>
  <si>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</si>
  <si>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</si>
  <si>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</si>
  <si>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</si>
  <si>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</si>
  <si>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</si>
  <si>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</si>
  <si>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</si>
  <si>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</si>
  <si>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</si>
  <si>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</si>
  <si>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</si>
  <si>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</si>
  <si>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</si>
  <si>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</si>
  <si>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</si>
  <si>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</si>
  <si>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</si>
  <si>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</si>
  <si>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</si>
  <si>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</si>
  <si>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</si>
  <si>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</si>
  <si>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</si>
  <si>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</si>
  <si>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</si>
  <si>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</si>
  <si>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</si>
  <si>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</si>
  <si>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</si>
  <si>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</si>
  <si>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</si>
  <si>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</si>
  <si>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</si>
  <si>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</si>
  <si>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</si>
  <si>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</si>
  <si>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</si>
  <si>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</si>
  <si>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</si>
  <si>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</si>
  <si>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</si>
  <si>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</si>
  <si>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</si>
  <si>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</si>
  <si>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</si>
  <si>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</si>
  <si>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</si>
  <si>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</si>
  <si>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</si>
  <si>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</si>
  <si>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</si>
  <si>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</si>
  <si>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</si>
  <si>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</si>
  <si>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</si>
  <si>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</si>
  <si>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</si>
  <si>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</si>
  <si>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</si>
  <si>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</si>
  <si>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</si>
  <si>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</si>
  <si>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</si>
  <si>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</si>
  <si>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</si>
  <si>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</si>
  <si>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</si>
  <si>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</si>
  <si>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</si>
  <si>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</si>
  <si>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</si>
  <si>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</si>
  <si>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</si>
  <si>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</si>
  <si>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</si>
  <si>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</si>
  <si>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</si>
  <si>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</si>
  <si>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</si>
  <si>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</si>
  <si>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</si>
  <si>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</si>
  <si>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</si>
  <si>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</si>
  <si>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</si>
  <si>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</si>
  <si>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</si>
  <si>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</si>
  <si>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</si>
  <si>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</si>
  <si>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</si>
  <si>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</si>
  <si>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</si>
  <si>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</si>
  <si>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</si>
  <si>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</si>
  <si>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</si>
  <si>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</si>
  <si>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</si>
  <si>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</si>
  <si>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</si>
  <si>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</si>
  <si>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</si>
  <si>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</si>
  <si>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</si>
  <si>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</si>
  <si>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</si>
  <si>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</si>
  <si>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</si>
  <si>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</si>
  <si>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</si>
  <si>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</si>
  <si>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</si>
  <si>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</si>
  <si>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</si>
  <si>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</si>
  <si>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</si>
  <si>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</si>
  <si>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</si>
  <si>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</si>
  <si>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</si>
  <si>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</si>
  <si>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</si>
  <si>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</si>
  <si>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</si>
  <si>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</si>
  <si>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</si>
  <si>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</si>
  <si>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</si>
  <si>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</si>
  <si>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</si>
  <si>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</si>
  <si>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</si>
  <si>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</si>
  <si>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</si>
  <si>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</si>
  <si>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</si>
  <si>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</si>
  <si>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</si>
  <si>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</si>
  <si>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</si>
  <si>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</si>
  <si>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</si>
  <si>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</si>
  <si>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</si>
  <si>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</si>
  <si>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</si>
  <si>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</si>
  <si>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</si>
  <si>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</si>
  <si>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</si>
  <si>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</si>
  <si>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</si>
  <si>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</si>
  <si>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</si>
  <si>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</si>
  <si>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</si>
  <si>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</si>
  <si>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</si>
  <si>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</si>
  <si>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</si>
  <si>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</si>
  <si>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</si>
  <si>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</si>
  <si>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</si>
  <si>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</si>
  <si>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</si>
  <si>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</si>
  <si>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</si>
  <si>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</si>
  <si>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</si>
  <si>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</si>
  <si>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</si>
  <si>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</si>
  <si>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</si>
  <si>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</si>
  <si>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</si>
  <si>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</si>
  <si>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</si>
  <si>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</si>
  <si>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</si>
  <si>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</si>
  <si>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</si>
  <si>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</si>
  <si>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</si>
  <si>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</si>
  <si>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</si>
  <si>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</si>
  <si>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</si>
  <si>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</si>
  <si>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</si>
  <si>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</si>
  <si>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</si>
  <si>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</si>
  <si>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</si>
  <si>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</si>
  <si>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</si>
  <si>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</si>
  <si>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</si>
  <si>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</si>
  <si>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</si>
  <si>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</si>
  <si>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</si>
  <si>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</si>
  <si>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</si>
  <si>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</si>
  <si>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</si>
  <si>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</si>
  <si>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</si>
  <si>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</si>
  <si>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</si>
  <si>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</si>
  <si>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</si>
  <si>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</si>
  <si>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</si>
  <si>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</si>
  <si>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</si>
  <si>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</si>
  <si>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</si>
  <si>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</si>
  <si>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</si>
  <si>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</si>
  <si>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</si>
  <si>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</si>
  <si>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</si>
  <si>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</si>
  <si>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</si>
  <si>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</si>
  <si>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</si>
  <si>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</si>
  <si>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</si>
  <si>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</si>
  <si>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</si>
  <si>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</si>
  <si>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</si>
  <si>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</si>
  <si>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</si>
  <si>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</si>
  <si>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</si>
  <si>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</si>
  <si>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</si>
  <si>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</si>
  <si>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</si>
  <si>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</si>
  <si>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</si>
  <si>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</si>
  <si>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</si>
  <si>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</si>
  <si>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</si>
  <si>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</si>
  <si>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</si>
  <si>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</si>
  <si>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</si>
  <si>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</si>
  <si>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</si>
  <si>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</si>
  <si>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</si>
  <si>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</si>
  <si>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</si>
  <si>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</si>
  <si>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</si>
  <si>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</si>
  <si>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</si>
  <si>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</si>
  <si>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</si>
  <si>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</si>
  <si>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</si>
  <si>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</si>
  <si>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</si>
  <si>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</si>
  <si>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</si>
  <si>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</si>
  <si>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</si>
  <si>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</si>
  <si>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</si>
  <si>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</si>
  <si>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</si>
  <si>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</si>
  <si>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</si>
  <si>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</si>
  <si>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</si>
  <si>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</si>
  <si>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</si>
  <si>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</si>
  <si>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</si>
  <si>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</si>
  <si>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</si>
  <si>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</si>
  <si>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</si>
  <si>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</si>
  <si>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</si>
  <si>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</si>
  <si>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</si>
  <si>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</si>
  <si>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</si>
  <si>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</si>
  <si>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</si>
  <si>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</si>
  <si>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</si>
  <si>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</si>
  <si>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</si>
  <si>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</si>
  <si>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</si>
  <si>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</si>
  <si>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</si>
  <si>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</si>
  <si>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</si>
  <si>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</si>
  <si>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</si>
  <si>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</si>
  <si>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</si>
  <si>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</si>
  <si>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</si>
  <si>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</si>
  <si>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</si>
  <si>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</si>
  <si>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</si>
  <si>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</si>
  <si>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</si>
  <si>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</si>
  <si>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</si>
  <si>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</si>
  <si>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</si>
  <si>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</si>
  <si>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</si>
  <si>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</si>
  <si>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</si>
  <si>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</si>
  <si>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</si>
  <si>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</si>
  <si>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</si>
  <si>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</si>
  <si>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</si>
  <si>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</si>
  <si>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</si>
  <si>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</si>
  <si>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</si>
  <si>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</si>
  <si>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</si>
  <si>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</si>
  <si>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</si>
  <si>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</si>
  <si>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</si>
  <si>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</si>
  <si>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</si>
  <si>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</si>
  <si>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</si>
  <si>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</si>
  <si>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</si>
  <si>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</si>
  <si>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</si>
  <si>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</si>
  <si>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</si>
  <si>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</si>
  <si>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</si>
  <si>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</si>
  <si>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</si>
  <si>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</si>
  <si>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</si>
  <si>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</si>
  <si>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</si>
  <si>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</si>
  <si>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</si>
  <si>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</si>
  <si>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</si>
  <si>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</si>
  <si>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</si>
  <si>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</si>
  <si>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</si>
  <si>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</si>
  <si>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</si>
  <si>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</si>
  <si>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</si>
  <si>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</si>
  <si>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</si>
  <si>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</si>
  <si>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</si>
  <si>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</si>
  <si>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</si>
  <si>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</si>
  <si>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</si>
  <si>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</si>
  <si>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</si>
  <si>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</si>
  <si>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</si>
  <si>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</si>
  <si>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</si>
  <si>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</si>
  <si>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</si>
  <si>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</si>
  <si>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</si>
  <si>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</si>
  <si>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</si>
  <si>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</si>
  <si>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</si>
  <si>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</si>
  <si>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</si>
  <si>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</si>
  <si>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</si>
  <si>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</si>
  <si>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</si>
  <si>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</si>
  <si>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</si>
  <si>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</si>
  <si>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</si>
  <si>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</si>
  <si>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</si>
  <si>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</si>
  <si>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</si>
  <si>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</si>
  <si>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</si>
  <si>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</si>
  <si>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</si>
  <si>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</si>
  <si>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</si>
  <si>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</si>
  <si>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</si>
  <si>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</si>
  <si>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</si>
  <si>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</si>
  <si>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</si>
  <si>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</si>
  <si>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</si>
  <si>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</si>
  <si>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</si>
  <si>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</si>
  <si>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</si>
  <si>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</si>
  <si>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</si>
  <si>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</si>
  <si>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</si>
  <si>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</si>
  <si>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</si>
  <si>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</si>
  <si>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</si>
  <si>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</si>
  <si>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</si>
  <si>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</si>
  <si>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</si>
  <si>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</si>
  <si>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</si>
  <si>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</si>
  <si>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</si>
  <si>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</si>
  <si>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</si>
  <si>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</si>
  <si>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</si>
  <si>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</si>
  <si>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</si>
  <si>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</si>
  <si>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</si>
  <si>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</si>
  <si>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</si>
  <si>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</si>
  <si>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</si>
  <si>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</si>
  <si>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</si>
  <si>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</si>
  <si>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</si>
  <si>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</si>
  <si>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</si>
  <si>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</si>
  <si>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</si>
  <si>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</si>
  <si>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</si>
  <si>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</si>
  <si>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</si>
  <si>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</si>
  <si>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</si>
  <si>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</si>
  <si>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</si>
  <si>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</si>
  <si>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</si>
  <si>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</si>
  <si>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</si>
  <si>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</si>
  <si>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</si>
  <si>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</si>
  <si>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</si>
  <si>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</si>
  <si>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</si>
  <si>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</si>
  <si>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</si>
  <si>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</si>
  <si>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</si>
  <si>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</si>
  <si>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</si>
  <si>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 - 19. ročník Levoča Cup 2025</t>
  </si>
  <si>
    <t>125/2025</t>
  </si>
  <si>
    <t>FA č.:250027</t>
  </si>
  <si>
    <t>Preprava športovcov Levoča Cup Levoča - Veľký Šariš</t>
  </si>
  <si>
    <t>36495611</t>
  </si>
  <si>
    <t>SPOLROS, s.r.o.</t>
  </si>
  <si>
    <t>127/2025</t>
  </si>
  <si>
    <t>FA č.:250026</t>
  </si>
  <si>
    <t>Ubytovanie športovcov Levoča Cup</t>
  </si>
  <si>
    <t>129/2025</t>
  </si>
  <si>
    <t>FA č.:084250084</t>
  </si>
  <si>
    <t>Strava pre účastníkov Levoča Cup</t>
  </si>
  <si>
    <t>34803459</t>
  </si>
  <si>
    <t>Kontaktná osoba zodpovedná za vyplnený formulár
meno a priezvisko: Václav Trnka
e-mail: trnkavaclav68@gmail.com
tel. kontakt (mobil): +421 904 823 578</t>
  </si>
  <si>
    <t>Hubert - Róbert Rusňák, Levoča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</si>
</sst>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22" val="20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4"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115" zoomScaleNormal="115"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4" zoomScale="130" zoomScaleNormal="13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Telovýchovná jednota Štart, sekcia nevidiacich a slabozrakých športovcov Slovenska 054 01 Levoča</v>
      </c>
      <c r="C3" s="338"/>
      <c r="D3" s="338"/>
      <c r="G3" s="252">
        <v>45747</v>
      </c>
    </row>
    <row r="4" spans="1:7" ht="13.8" x14ac:dyDescent="0.25">
      <c r="A4" s="30" t="s">
        <v>313</v>
      </c>
      <c r="B4" s="29" t="str">
        <f>RIGHT("0000"&amp;INDEX(Adr!A:A,Doklady!B102+1),8)</f>
        <v>17151414</v>
      </c>
      <c r="G4" s="252">
        <v>45777</v>
      </c>
    </row>
    <row r="5" spans="1:7" ht="13.8" x14ac:dyDescent="0.25">
      <c r="A5" s="30" t="s">
        <v>314</v>
      </c>
      <c r="B5" s="29" t="str">
        <f>INDEX(Adr!D:D,Doklady!B102+1)&amp;", "&amp;INDEX(Adr!E:E,Doklady!B102+1)</f>
        <v>Pri strelnici 29, Levoča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2600</v>
      </c>
      <c r="G12" s="252">
        <v>46022</v>
      </c>
    </row>
    <row r="13" spans="1:7" ht="13.8" x14ac:dyDescent="0.25">
      <c r="A13" s="133" t="s">
        <v>323</v>
      </c>
      <c r="B13" s="134" t="s">
        <v>324</v>
      </c>
      <c r="C13" s="175">
        <f>+Spolu!C13</f>
        <v>0</v>
      </c>
      <c r="G13" s="252"/>
    </row>
    <row r="14" spans="1:7" ht="13.8" x14ac:dyDescent="0.25">
      <c r="A14" s="133" t="s">
        <v>325</v>
      </c>
      <c r="B14" s="134" t="s">
        <v>326</v>
      </c>
      <c r="C14" s="175">
        <v>0</v>
      </c>
      <c r="G14" s="252"/>
    </row>
    <row r="15" spans="1:7" ht="13.8" x14ac:dyDescent="0.25">
      <c r="A15" s="33" t="s">
        <v>327</v>
      </c>
      <c r="B15" s="132"/>
      <c r="C15" s="34">
        <f>SUM(C10:C14)</f>
        <v>2600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9" zoomScale="130" zoomScaleNormal="13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5">
      <c r="B3" s="160" t="s">
        <v>59</v>
      </c>
      <c r="C3" s="351" t="str">
        <f>INDEX(Adr!B2:B242,Doklady!B102)</f>
        <v>Telovýchovná jednota Štart, sekcia nevidiacich a slabozrakých športovcov Slovenska 054 01 Levoča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17151414</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Pri strelnici 29, Levoča, 054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7.399999999999999" x14ac:dyDescent="0.3">
      <c r="A12" s="69" t="s">
        <v>321</v>
      </c>
      <c r="B12" s="70" t="s">
        <v>322</v>
      </c>
      <c r="C12" s="126">
        <f>SUMIF(FP!J:J,Doklady!$B$1&amp;A12,FP!D:D)</f>
        <v>2600</v>
      </c>
      <c r="D12" s="126">
        <f>C12-E12</f>
        <v>2600</v>
      </c>
      <c r="E12" s="343">
        <f>SUMIF(K:K,A12,I:I)</f>
        <v>0</v>
      </c>
      <c r="F12" s="344"/>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2600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19. ročník Levoča Cup 2025</v>
      </c>
      <c r="C53" s="73">
        <f>IF(A53&lt;&gt;"",INDEX(FP!D:D,Doklady!B$2+(ROW()-53)),"")</f>
        <v>2600</v>
      </c>
      <c r="D53" s="73">
        <f>IF(A53&lt;&gt;"",Doklady!I1-Doklady!J1,"")</f>
        <v>2600</v>
      </c>
      <c r="E53" s="73">
        <f>IF(A53&lt;&gt;"",MIN(D53,C53)*Doklady!C1/(1-Doklady!C1),"")</f>
        <v>0</v>
      </c>
      <c r="F53" s="71">
        <f>IF(A53&lt;&gt;"",Doklady!J1,"")</f>
        <v>0</v>
      </c>
      <c r="G53" s="73">
        <f>+IFERROR(HLOOKUP(IF(RIGHT(B53,15)="bežné transfery",LEFT(B53,LEN(B53)-18),0),$J$40:$K$42,3,0),MIN(C53,D53))</f>
        <v>2600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2600</v>
      </c>
      <c r="D130" s="228">
        <f t="shared" ref="D130:I130" si="9">SUM(D53:D129)</f>
        <v>2600</v>
      </c>
      <c r="E130" s="228">
        <f t="shared" si="9"/>
        <v>0</v>
      </c>
      <c r="F130" s="228">
        <f t="shared" si="9"/>
        <v>0</v>
      </c>
      <c r="G130" s="228">
        <f t="shared" si="9"/>
        <v>2600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2" t="s">
        <v>2124</v>
      </c>
      <c r="E140" s="362"/>
      <c r="F140" s="362"/>
      <c r="G140" s="362"/>
      <c r="H140" s="362"/>
      <c r="I140" s="362"/>
      <c r="J140" s="85"/>
    </row>
    <row r="141" spans="1:26" ht="68.25" customHeight="1" x14ac:dyDescent="0.25">
      <c r="A141" s="9"/>
      <c r="B141" s="281" t="s">
        <v>3013</v>
      </c>
      <c r="C141" s="214"/>
      <c r="D141" s="342" t="s">
        <v>393</v>
      </c>
      <c r="E141" s="342"/>
      <c r="F141" s="342"/>
      <c r="G141" s="342"/>
      <c r="H141" s="342"/>
      <c r="I141" s="342"/>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6" zoomScale="130" zoomScaleNormal="130" workbookViewId="0">
      <selection activeCell="E109" sqref="E10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m - 19. ročník Levoča Cup 2025</v>
      </c>
      <c r="B1" s="232" t="str">
        <f>INDEX(Adr!A:A,B102+1)</f>
        <v>17151414</v>
      </c>
      <c r="C1" s="233">
        <f>IF(ROW()&lt;=B$3,INDEX(FP!E:E,B$2+ROW()-1),"")</f>
        <v>0</v>
      </c>
      <c r="D1" s="234" t="str">
        <f>IF(ROW()&lt;=B$3,INDEX(FP!F:F,B$2+ROW()-1),"")</f>
        <v>m</v>
      </c>
      <c r="E1" s="234"/>
      <c r="F1" s="234" t="str">
        <f>IF(ROW()&lt;=B$3,INDEX(FP!G:G,B$2+ROW()-1),"")</f>
        <v>026 03</v>
      </c>
      <c r="G1" s="234"/>
      <c r="H1" s="235" t="str">
        <f>IF(ROW()&lt;=B$3,INDEX(FP!C:C,B$2+ROW()-1),"")</f>
        <v>19. ročník Levoča Cup 2025</v>
      </c>
      <c r="I1" s="236">
        <f t="shared" ref="I1:I6" si="0">IF(ROW()&lt;=B$3,SUMIF(A$107:A$10042,A1,I$107:I$10042),"")</f>
        <v>2600</v>
      </c>
      <c r="J1" s="236">
        <f t="shared" ref="J1:J32" si="1">IF(ROW()&lt;=B$3,SUMIFS(I$103:I$50042,A$103:A$50042,K1,J$103:J$50042,L1),"")</f>
        <v>0</v>
      </c>
      <c r="K1" s="110" t="str">
        <f>$A1</f>
        <v>m - 19. ročník Levoča Cup 2025</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487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222</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3000</v>
      </c>
      <c r="B107" s="14" t="s">
        <v>3001</v>
      </c>
      <c r="C107" s="14" t="s">
        <v>3002</v>
      </c>
      <c r="D107" s="16">
        <v>45962</v>
      </c>
      <c r="E107" s="16"/>
      <c r="F107" s="14" t="s">
        <v>3003</v>
      </c>
      <c r="G107" s="14" t="s">
        <v>3004</v>
      </c>
      <c r="H107" s="14" t="s">
        <v>3005</v>
      </c>
      <c r="I107" s="15">
        <v>98.4</v>
      </c>
      <c r="J107" s="77"/>
      <c r="K107" s="92"/>
    </row>
    <row r="108" spans="1:25" ht="13.2" x14ac:dyDescent="0.25">
      <c r="A108" s="14" t="s">
        <v>3000</v>
      </c>
      <c r="B108" s="14" t="s">
        <v>3006</v>
      </c>
      <c r="C108" s="14" t="s">
        <v>3007</v>
      </c>
      <c r="D108" s="16">
        <v>45962</v>
      </c>
      <c r="E108" s="16"/>
      <c r="F108" s="14" t="s">
        <v>3008</v>
      </c>
      <c r="G108" s="14" t="s">
        <v>3004</v>
      </c>
      <c r="H108" s="14" t="s">
        <v>3005</v>
      </c>
      <c r="I108" s="15">
        <v>924</v>
      </c>
      <c r="J108" s="77"/>
      <c r="K108" s="92"/>
    </row>
    <row r="109" spans="1:25" ht="13.2" x14ac:dyDescent="0.25">
      <c r="A109" s="14" t="s">
        <v>3000</v>
      </c>
      <c r="B109" s="14" t="s">
        <v>3009</v>
      </c>
      <c r="C109" s="14" t="s">
        <v>3010</v>
      </c>
      <c r="D109" s="16">
        <v>45962</v>
      </c>
      <c r="E109" s="16"/>
      <c r="F109" s="14" t="s">
        <v>3011</v>
      </c>
      <c r="G109" s="14" t="s">
        <v>3012</v>
      </c>
      <c r="H109" s="14" t="s">
        <v>3014</v>
      </c>
      <c r="I109" s="15">
        <v>1577.6</v>
      </c>
      <c r="J109" s="77"/>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0.399999999999999"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2" x14ac:dyDescent="0.2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2" x14ac:dyDescent="0.2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2" x14ac:dyDescent="0.2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2" x14ac:dyDescent="0.2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2" x14ac:dyDescent="0.2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2" x14ac:dyDescent="0.2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2" x14ac:dyDescent="0.2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2" x14ac:dyDescent="0.2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2" x14ac:dyDescent="0.2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Telovýchovná jednota Štart, sekcia nevidiacich a slabozrakých športovcov Slovenska 054 01 Levoča, Pri strelnici 29, Levoča, 054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17151414</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Telovýchovná jednota Štart, sekcia nevidiacich a slabozrakých športovcov Slovenska 054 01 Levoča, Pri strelnici 29, Levoča, 054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17151414</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PC</cp:lastModifiedBy>
  <cp:revision/>
  <cp:lastPrinted>2025-01-23T13:30:36Z</cp:lastPrinted>
  <dcterms:created xsi:type="dcterms:W3CDTF">2017-02-20T06:20:12Z</dcterms:created>
  <dcterms:modified xsi:type="dcterms:W3CDTF">2026-01-19T14:36:42Z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